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Kudryashov\Desktop\Стратегия отдела\сайт\заявка по ESG databook\20210630\"/>
    </mc:Choice>
  </mc:AlternateContent>
  <bookViews>
    <workbookView xWindow="0" yWindow="0" windowWidth="23040" windowHeight="9192" tabRatio="475" activeTab="1"/>
  </bookViews>
  <sheets>
    <sheet name="MENU" sheetId="4" r:id="rId1"/>
    <sheet name="ENVIRONMENT net" sheetId="5" r:id="rId2"/>
    <sheet name="ENVIRONMENT total" sheetId="8" r:id="rId3"/>
    <sheet name="ENERGY EFFICIENCY" sheetId="7" r:id="rId4"/>
    <sheet name="SOCIAL" sheetId="2" r:id="rId5"/>
    <sheet name="GOVERNANCE" sheetId="6" r:id="rId6"/>
  </sheets>
  <externalReferences>
    <externalReference r:id="rId7"/>
    <externalReference r:id="rId8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3" hidden="1">#REF!</definedName>
    <definedName name="_Sort" localSheetId="2" hidden="1">#REF!</definedName>
    <definedName name="_Sort" localSheetId="0" hidden="1">#REF!</definedName>
    <definedName name="_Sort" hidden="1">#REF!</definedName>
    <definedName name="_ww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3" hidden="1">#REF!</definedName>
    <definedName name="_xlnm._FilterDatabase" localSheetId="2" hidden="1">#REF!</definedName>
    <definedName name="_xlnm._FilterDatabase" localSheetId="0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2" hidden="1">{"FCB_ALL",#N/A,FALSE,"FCB"}</definedName>
    <definedName name="as" localSheetId="0" hidden="1">{"FCB_ALL",#N/A,FALSE,"FCB"}</definedName>
    <definedName name="as" hidden="1">{"FCB_ALL",#N/A,FALSE,"FCB"}</definedName>
    <definedName name="awe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dddddd" localSheetId="2" hidden="1">{"FCB_ALL",#N/A,FALSE,"FCB";"GREY_ALL",#N/A,FALSE,"GREY"}</definedName>
    <definedName name="dddddd" localSheetId="0" hidden="1">{"FCB_ALL",#N/A,FALSE,"FCB";"GREY_ALL",#N/A,FALSE,"GREY"}</definedName>
    <definedName name="dddddd" hidden="1">{"FCB_ALL",#N/A,FALSE,"FCB";"GREY_ALL",#N/A,FALSE,"GREY"}</definedName>
    <definedName name="dfd" localSheetId="2" hidden="1">{"FCB_ALL",#N/A,FALSE,"FCB";"GREY_ALL",#N/A,FALSE,"GREY"}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2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fd" localSheetId="2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fd" localSheetId="2" hidden="1">{"FCB_ALL",#N/A,FALSE,"FCB"}</definedName>
    <definedName name="dfdfdfd" localSheetId="0" hidden="1">{"FCB_ALL",#N/A,FALSE,"FCB"}</definedName>
    <definedName name="dfdfdfd" hidden="1">{"FCB_ALL",#N/A,FALSE,"FCB"}</definedName>
    <definedName name="draka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2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2" hidden="1">{"'КУЛАКОВ Ю.В.'!$A$1:$AP$78"}</definedName>
    <definedName name="HTML_Control" localSheetId="0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2" hidden="1">{"page1",#N/A,TRUE,"CSC";"page2",#N/A,TRUE,"CSC"}</definedName>
    <definedName name="lkjlklkjlkjlkj" localSheetId="0" hidden="1">{"page1",#N/A,TRUE,"CSC";"page2",#N/A,TRUE,"CSC"}</definedName>
    <definedName name="lkjlklkjlkjlkj" hidden="1">{"page1",#N/A,TRUE,"CSC";"page2",#N/A,TRUE,"CSC"}</definedName>
    <definedName name="ll" localSheetId="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2" hidden="1">{"CSC_1",#N/A,FALSE,"CSC Outputs";"CSC_2",#N/A,FALSE,"CSC Outputs"}</definedName>
    <definedName name="New" localSheetId="0" hidden="1">{"CSC_1",#N/A,FALSE,"CSC Outputs";"CSC_2",#N/A,FALSE,"CSC Outputs"}</definedName>
    <definedName name="New" hidden="1">{"CSC_1",#N/A,FALSE,"CSC Outputs";"CSC_2",#N/A,FALSE,"CSC Outputs"}</definedName>
    <definedName name="Print_CSC_Report_3" localSheetId="2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2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2" hidden="1">{"page1",#N/A,TRUE,"CSC";"page2",#N/A,TRUE,"CSC"}</definedName>
    <definedName name="rename_of_wrn.CSC" localSheetId="0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2" hidden="1">{#N/A,#N/A,FALSE,"TradeSumm";#N/A,#N/A,FALSE,"StatsSumm"}</definedName>
    <definedName name="wrn.Alex." localSheetId="0" hidden="1">{#N/A,#N/A,FALSE,"TradeSumm";#N/A,#N/A,FALSE,"StatsSumm"}</definedName>
    <definedName name="wrn.Alex." hidden="1">{#N/A,#N/A,FALSE,"TradeSumm";#N/A,#N/A,FALSE,"StatsSumm"}</definedName>
    <definedName name="wrn.all." localSheetId="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2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2" hidden="1">{"Assumptions",#N/A,FALSE,"Assum"}</definedName>
    <definedName name="wrn.Assumptions." localSheetId="0" hidden="1">{"Assumptions",#N/A,FALSE,"Assum"}</definedName>
    <definedName name="wrn.Assumptions." hidden="1">{"Assumptions",#N/A,FALSE,"Assum"}</definedName>
    <definedName name="wrn.CAG." localSheetId="2" hidden="1">{#N/A,#N/A,FALSE,"CAG"}</definedName>
    <definedName name="wrn.CAG." localSheetId="0" hidden="1">{#N/A,#N/A,FALSE,"CAG"}</definedName>
    <definedName name="wrn.CAG." hidden="1">{#N/A,#N/A,FALSE,"CAG"}</definedName>
    <definedName name="wrn.Cider." localSheetId="2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2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2" hidden="1">{#N/A,#N/A,FALSE,"Contribution Analysis"}</definedName>
    <definedName name="wrn.contribution." localSheetId="0" hidden="1">{#N/A,#N/A,FALSE,"Contribution Analysis"}</definedName>
    <definedName name="wrn.contribution." hidden="1">{#N/A,#N/A,FALSE,"Contribution Analysis"}</definedName>
    <definedName name="wrn.Cover.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2" hidden="1">{#N/A,#N/A,FALSE,"CPB"}</definedName>
    <definedName name="wrn.CPB." localSheetId="0" hidden="1">{#N/A,#N/A,FALSE,"CPB"}</definedName>
    <definedName name="wrn.CPB." hidden="1">{#N/A,#N/A,FALSE,"CPB"}</definedName>
    <definedName name="wrn.Credit._.Summary." localSheetId="2" hidden="1">{#N/A,#N/A,FALSE,"Credit Summary"}</definedName>
    <definedName name="wrn.Credit._.Summary." localSheetId="0" hidden="1">{#N/A,#N/A,FALSE,"Credit Summary"}</definedName>
    <definedName name="wrn.Credit._.Summary." hidden="1">{#N/A,#N/A,FALSE,"Credit Summary"}</definedName>
    <definedName name="wrn.CSC." localSheetId="2" hidden="1">{"page1",#N/A,TRUE,"CSC";"page2",#N/A,TRUE,"CSC"}</definedName>
    <definedName name="wrn.CSC." localSheetId="0" hidden="1">{"page1",#N/A,TRUE,"CSC";"page2",#N/A,TRUE,"CSC"}</definedName>
    <definedName name="wrn.CSC." hidden="1">{"page1",#N/A,TRUE,"CSC";"page2",#N/A,TRUE,"CSC"}</definedName>
    <definedName name="wrn.CSC2" localSheetId="2" hidden="1">{"page1",#N/A,TRUE,"CSC";"page2",#N/A,TRUE,"CSC"}</definedName>
    <definedName name="wrn.CSC2" localSheetId="0" hidden="1">{"page1",#N/A,TRUE,"CSC";"page2",#N/A,TRUE,"CSC"}</definedName>
    <definedName name="wrn.CSC2" hidden="1">{"page1",#N/A,TRUE,"CSC";"page2",#N/A,TRUE,"CSC"}</definedName>
    <definedName name="wrn.csc2." localSheetId="2" hidden="1">{#N/A,#N/A,FALSE,"ORIX CSC"}</definedName>
    <definedName name="wrn.csc2." localSheetId="0" hidden="1">{#N/A,#N/A,FALSE,"ORIX CSC"}</definedName>
    <definedName name="wrn.csc2." hidden="1">{#N/A,#N/A,FALSE,"ORIX CSC"}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2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2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2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2" hidden="1">{"FCB_ALL",#N/A,FALSE,"FCB"}</definedName>
    <definedName name="wrn.FCB." localSheetId="0" hidden="1">{"FCB_ALL",#N/A,FALSE,"FCB"}</definedName>
    <definedName name="wrn.FCB." hidden="1">{"FCB_ALL",#N/A,FALSE,"FCB"}</definedName>
    <definedName name="wrn.fcb2" localSheetId="2" hidden="1">{"FCB_ALL",#N/A,FALSE,"FCB"}</definedName>
    <definedName name="wrn.fcb2" localSheetId="0" hidden="1">{"FCB_ALL",#N/A,FALSE,"FCB"}</definedName>
    <definedName name="wrn.fcb2" hidden="1">{"FCB_ALL",#N/A,FALSE,"FCB"}</definedName>
    <definedName name="wrn.FE._.Sensitivity." localSheetId="2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2" hidden="1">{#N/A,#N/A,FALSE,"GIS"}</definedName>
    <definedName name="wrn.GIS." localSheetId="0" hidden="1">{#N/A,#N/A,FALSE,"GIS"}</definedName>
    <definedName name="wrn.GIS." hidden="1">{#N/A,#N/A,FALSE,"GIS"}</definedName>
    <definedName name="wrn.Historical._.Cost._.PWC." localSheetId="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2" hidden="1">{#N/A,#N/A,FALSE,"HNZ"}</definedName>
    <definedName name="wrn.HNZ." localSheetId="0" hidden="1">{#N/A,#N/A,FALSE,"HNZ"}</definedName>
    <definedName name="wrn.HNZ." hidden="1">{#N/A,#N/A,FALSE,"HNZ"}</definedName>
    <definedName name="wrn.Introduction." localSheetId="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2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2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2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2" hidden="1">{#N/A,#N/A,FALSE,"K"}</definedName>
    <definedName name="wrn.K." localSheetId="0" hidden="1">{#N/A,#N/A,FALSE,"K"}</definedName>
    <definedName name="wrn.K." hidden="1">{#N/A,#N/A,FALSE,"K"}</definedName>
    <definedName name="wrn.lbo." localSheetId="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2" hidden="1">{#N/A,#N/A,FALSE,"MCCRK"}</definedName>
    <definedName name="wrn.MCCRK." localSheetId="0" hidden="1">{#N/A,#N/A,FALSE,"MCCRK"}</definedName>
    <definedName name="wrn.MCCRK." hidden="1">{#N/A,#N/A,FALSE,"MCCRK"}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2" hidden="1">{#N/A,#N/A,FALSE,"NA"}</definedName>
    <definedName name="wrn.NA." localSheetId="0" hidden="1">{#N/A,#N/A,FALSE,"NA"}</definedName>
    <definedName name="wrn.NA." hidden="1">{#N/A,#N/A,FALSE,"NA"}</definedName>
    <definedName name="wrn.NA._.Model._.T._.and._.B." localSheetId="2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2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2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2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2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tandalone." localSheetId="2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2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2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2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2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2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2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2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2" hidden="1">{"test2",#N/A,TRUE,"Prices"}</definedName>
    <definedName name="wrn.test." localSheetId="0" hidden="1">{"test2",#N/A,TRUE,"Prices"}</definedName>
    <definedName name="wrn.test." hidden="1">{"test2",#N/A,TRUE,"Prices"}</definedName>
    <definedName name="wrn.Trading._.Summary." localSheetId="2" hidden="1">{#N/A,#N/A,FALSE,"Trading Summary"}</definedName>
    <definedName name="wrn.Trading._.Summary." localSheetId="0" hidden="1">{#N/A,#N/A,FALSE,"Trading Summary"}</definedName>
    <definedName name="wrn.Trading._.Summary." hidden="1">{#N/A,#N/A,FALSE,"Trading Summary"}</definedName>
    <definedName name="wrn.Tweety." localSheetId="2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2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2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2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2" hidden="1">{#N/A,#N/A,FALSE,"WWY"}</definedName>
    <definedName name="wrn.WWY." localSheetId="0" hidden="1">{#N/A,#N/A,FALSE,"WWY"}</definedName>
    <definedName name="wrn.WWY." hidden="1">{#N/A,#N/A,FALSE,"WWY"}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3">'ENERGY EFFICIENCY'!#REF!</definedName>
    <definedName name="_xlnm.Print_Area" localSheetId="1">'ENVIRONMENT net'!$A$1:$L$3</definedName>
    <definedName name="_xlnm.Print_Area" localSheetId="5">GOVERNANCE!#REF!</definedName>
    <definedName name="_xlnm.Print_Area" localSheetId="0">MENU!$A$1:$Q$55</definedName>
    <definedName name="_xlnm.Print_Area" localSheetId="4">SOCIAL!$A$1:$M$2</definedName>
    <definedName name="ор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3" hidden="1">#REF!</definedName>
    <definedName name="прмтмиато" localSheetId="2" hidden="1">#REF!</definedName>
    <definedName name="прмтмиато" localSheetId="0" hidden="1">#REF!</definedName>
    <definedName name="прмтмиато" hidden="1">#REF!</definedName>
    <definedName name="рп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K13" i="2" l="1"/>
  <c r="J64" i="7"/>
  <c r="J52" i="7"/>
  <c r="J53" i="7"/>
  <c r="J54" i="7"/>
  <c r="J39" i="7"/>
  <c r="J38" i="7"/>
  <c r="J37" i="7"/>
  <c r="J36" i="7"/>
  <c r="J35" i="7"/>
  <c r="J25" i="7"/>
  <c r="J23" i="7"/>
  <c r="J18" i="7"/>
  <c r="J17" i="7"/>
  <c r="J16" i="7"/>
  <c r="J15" i="7"/>
  <c r="J14" i="7"/>
  <c r="J11" i="7"/>
  <c r="J10" i="7"/>
  <c r="J9" i="7"/>
  <c r="J8" i="7"/>
  <c r="J7" i="7"/>
  <c r="J76" i="7"/>
  <c r="I76" i="7"/>
  <c r="H76" i="7"/>
  <c r="H70" i="7"/>
  <c r="J94" i="7"/>
  <c r="J50" i="7" s="1"/>
  <c r="J100" i="7"/>
  <c r="J21" i="7" s="1"/>
  <c r="L151" i="8"/>
  <c r="L152" i="8"/>
  <c r="L153" i="8"/>
  <c r="L154" i="8"/>
  <c r="L155" i="8"/>
  <c r="L156" i="8"/>
  <c r="L159" i="8"/>
  <c r="L158" i="8" s="1"/>
  <c r="L138" i="8"/>
  <c r="J79" i="8"/>
  <c r="L111" i="8"/>
  <c r="L112" i="8"/>
  <c r="L113" i="8"/>
  <c r="L114" i="8"/>
  <c r="L89" i="8"/>
  <c r="L90" i="8"/>
  <c r="L91" i="8"/>
  <c r="L79" i="8"/>
  <c r="L64" i="8"/>
  <c r="L54" i="8"/>
  <c r="L44" i="8"/>
  <c r="L35" i="8"/>
  <c r="L26" i="8"/>
  <c r="L17" i="8"/>
  <c r="L8" i="8" s="1"/>
  <c r="L15" i="8"/>
  <c r="L14" i="8"/>
  <c r="L13" i="8"/>
  <c r="L12" i="8"/>
  <c r="L11" i="8"/>
  <c r="L10" i="8"/>
  <c r="L9" i="8"/>
  <c r="J86" i="5"/>
  <c r="J80" i="5"/>
  <c r="J11" i="5"/>
  <c r="J12" i="5"/>
  <c r="K180" i="8" l="1"/>
  <c r="K179" i="8"/>
  <c r="J179" i="8"/>
  <c r="I179" i="8"/>
  <c r="H179" i="8"/>
  <c r="G179" i="8"/>
  <c r="F179" i="8"/>
  <c r="E179" i="8"/>
  <c r="D179" i="8"/>
  <c r="C179" i="8"/>
  <c r="K173" i="8"/>
  <c r="K172" i="8"/>
  <c r="J172" i="8"/>
  <c r="I172" i="8"/>
  <c r="H172" i="8"/>
  <c r="G172" i="8"/>
  <c r="F172" i="8"/>
  <c r="E172" i="8"/>
  <c r="D172" i="8"/>
  <c r="C172" i="8"/>
  <c r="K166" i="8"/>
  <c r="J166" i="8"/>
  <c r="I166" i="8"/>
  <c r="I152" i="8" s="1"/>
  <c r="H166" i="8"/>
  <c r="H165" i="8" s="1"/>
  <c r="H151" i="8" s="1"/>
  <c r="G166" i="8"/>
  <c r="F166" i="8"/>
  <c r="E166" i="8"/>
  <c r="E152" i="8" s="1"/>
  <c r="D166" i="8"/>
  <c r="D165" i="8" s="1"/>
  <c r="D151" i="8" s="1"/>
  <c r="C166" i="8"/>
  <c r="K165" i="8"/>
  <c r="J165" i="8"/>
  <c r="I165" i="8"/>
  <c r="I151" i="8" s="1"/>
  <c r="G165" i="8"/>
  <c r="F165" i="8"/>
  <c r="E165" i="8"/>
  <c r="C165" i="8"/>
  <c r="J163" i="8"/>
  <c r="J156" i="8" s="1"/>
  <c r="K159" i="8"/>
  <c r="K158" i="8" s="1"/>
  <c r="J159" i="8"/>
  <c r="H159" i="8"/>
  <c r="G159" i="8"/>
  <c r="F159" i="8"/>
  <c r="F152" i="8" s="1"/>
  <c r="E159" i="8"/>
  <c r="D159" i="8"/>
  <c r="J158" i="8"/>
  <c r="I158" i="8"/>
  <c r="H158" i="8"/>
  <c r="G158" i="8"/>
  <c r="F158" i="8"/>
  <c r="F151" i="8" s="1"/>
  <c r="E158" i="8"/>
  <c r="D158" i="8"/>
  <c r="C158" i="8"/>
  <c r="C151" i="8" s="1"/>
  <c r="K156" i="8"/>
  <c r="I156" i="8"/>
  <c r="H156" i="8"/>
  <c r="K155" i="8"/>
  <c r="J155" i="8"/>
  <c r="I155" i="8"/>
  <c r="H155" i="8"/>
  <c r="G155" i="8"/>
  <c r="F155" i="8"/>
  <c r="E155" i="8"/>
  <c r="D155" i="8"/>
  <c r="C155" i="8"/>
  <c r="K154" i="8"/>
  <c r="J154" i="8"/>
  <c r="I154" i="8"/>
  <c r="H154" i="8"/>
  <c r="G154" i="8"/>
  <c r="F154" i="8"/>
  <c r="E154" i="8"/>
  <c r="D154" i="8"/>
  <c r="C154" i="8"/>
  <c r="K153" i="8"/>
  <c r="J153" i="8"/>
  <c r="J151" i="8" s="1"/>
  <c r="K152" i="8"/>
  <c r="K151" i="8" s="1"/>
  <c r="J152" i="8"/>
  <c r="G152" i="8"/>
  <c r="C152" i="8"/>
  <c r="K138" i="8"/>
  <c r="J134" i="8"/>
  <c r="I134" i="8"/>
  <c r="H134" i="8"/>
  <c r="G134" i="8"/>
  <c r="F134" i="8"/>
  <c r="E134" i="8"/>
  <c r="D134" i="8"/>
  <c r="C134" i="8"/>
  <c r="I131" i="8"/>
  <c r="H131" i="8"/>
  <c r="G131" i="8"/>
  <c r="F131" i="8"/>
  <c r="E131" i="8"/>
  <c r="D131" i="8"/>
  <c r="C131" i="8"/>
  <c r="G129" i="8"/>
  <c r="J127" i="8"/>
  <c r="I127" i="8"/>
  <c r="H127" i="8"/>
  <c r="G127" i="8"/>
  <c r="F127" i="8"/>
  <c r="E127" i="8"/>
  <c r="D127" i="8"/>
  <c r="C127" i="8"/>
  <c r="J126" i="8"/>
  <c r="J122" i="8"/>
  <c r="I122" i="8"/>
  <c r="H122" i="8"/>
  <c r="G122" i="8"/>
  <c r="F122" i="8"/>
  <c r="E122" i="8"/>
  <c r="D122" i="8"/>
  <c r="C122" i="8"/>
  <c r="J117" i="8"/>
  <c r="I117" i="8"/>
  <c r="H117" i="8"/>
  <c r="G117" i="8"/>
  <c r="F117" i="8"/>
  <c r="E117" i="8"/>
  <c r="D117" i="8"/>
  <c r="C117" i="8"/>
  <c r="K114" i="8"/>
  <c r="J114" i="8"/>
  <c r="I114" i="8"/>
  <c r="H114" i="8"/>
  <c r="G114" i="8"/>
  <c r="F114" i="8"/>
  <c r="E114" i="8"/>
  <c r="D114" i="8"/>
  <c r="C114" i="8"/>
  <c r="K113" i="8"/>
  <c r="J113" i="8"/>
  <c r="I113" i="8"/>
  <c r="H113" i="8"/>
  <c r="G113" i="8"/>
  <c r="F113" i="8"/>
  <c r="E113" i="8"/>
  <c r="D113" i="8"/>
  <c r="C113" i="8"/>
  <c r="K112" i="8"/>
  <c r="J112" i="8"/>
  <c r="I112" i="8"/>
  <c r="H112" i="8"/>
  <c r="G112" i="8"/>
  <c r="F112" i="8"/>
  <c r="E112" i="8"/>
  <c r="D112" i="8"/>
  <c r="C112" i="8"/>
  <c r="K111" i="8"/>
  <c r="J111" i="8"/>
  <c r="I111" i="8"/>
  <c r="H111" i="8"/>
  <c r="G111" i="8"/>
  <c r="F111" i="8"/>
  <c r="E111" i="8"/>
  <c r="D111" i="8"/>
  <c r="C111" i="8"/>
  <c r="C103" i="8"/>
  <c r="J101" i="8"/>
  <c r="J89" i="8" s="1"/>
  <c r="I101" i="8"/>
  <c r="H101" i="8"/>
  <c r="G101" i="8"/>
  <c r="G89" i="8" s="1"/>
  <c r="F101" i="8"/>
  <c r="E101" i="8"/>
  <c r="D101" i="8"/>
  <c r="C101" i="8"/>
  <c r="C89" i="8" s="1"/>
  <c r="J95" i="8"/>
  <c r="I95" i="8"/>
  <c r="H95" i="8"/>
  <c r="H91" i="8" s="1"/>
  <c r="G95" i="8"/>
  <c r="G91" i="8" s="1"/>
  <c r="F95" i="8"/>
  <c r="E95" i="8"/>
  <c r="D95" i="8"/>
  <c r="D91" i="8" s="1"/>
  <c r="C95" i="8"/>
  <c r="C91" i="8" s="1"/>
  <c r="H93" i="8"/>
  <c r="G93" i="8"/>
  <c r="F93" i="8"/>
  <c r="F89" i="8" s="1"/>
  <c r="E93" i="8"/>
  <c r="E89" i="8" s="1"/>
  <c r="D93" i="8"/>
  <c r="C93" i="8"/>
  <c r="K91" i="8"/>
  <c r="J91" i="8"/>
  <c r="I91" i="8"/>
  <c r="F91" i="8"/>
  <c r="E91" i="8"/>
  <c r="K90" i="8"/>
  <c r="J90" i="8"/>
  <c r="I90" i="8"/>
  <c r="H90" i="8"/>
  <c r="G90" i="8"/>
  <c r="F90" i="8"/>
  <c r="E90" i="8"/>
  <c r="D90" i="8"/>
  <c r="C90" i="8"/>
  <c r="K89" i="8"/>
  <c r="I89" i="8"/>
  <c r="H89" i="8"/>
  <c r="D89" i="8"/>
  <c r="I85" i="8"/>
  <c r="H85" i="8"/>
  <c r="G85" i="8"/>
  <c r="F85" i="8"/>
  <c r="E85" i="8"/>
  <c r="D85" i="8"/>
  <c r="C85" i="8"/>
  <c r="H83" i="8"/>
  <c r="G83" i="8"/>
  <c r="F83" i="8"/>
  <c r="F79" i="8" s="1"/>
  <c r="E83" i="8"/>
  <c r="D83" i="8"/>
  <c r="C83" i="8"/>
  <c r="H81" i="8"/>
  <c r="H79" i="8" s="1"/>
  <c r="G81" i="8"/>
  <c r="G79" i="8" s="1"/>
  <c r="F81" i="8"/>
  <c r="E81" i="8"/>
  <c r="D81" i="8"/>
  <c r="D79" i="8" s="1"/>
  <c r="C81" i="8"/>
  <c r="C79" i="8" s="1"/>
  <c r="K79" i="8"/>
  <c r="I79" i="8"/>
  <c r="E79" i="8"/>
  <c r="K64" i="8"/>
  <c r="J64" i="8"/>
  <c r="K54" i="8"/>
  <c r="J54" i="8"/>
  <c r="K44" i="8"/>
  <c r="J44" i="8"/>
  <c r="I44" i="8"/>
  <c r="H44" i="8"/>
  <c r="G44" i="8"/>
  <c r="F44" i="8"/>
  <c r="E44" i="8"/>
  <c r="D44" i="8"/>
  <c r="C44" i="8"/>
  <c r="I42" i="8"/>
  <c r="I15" i="8" s="1"/>
  <c r="H42" i="8"/>
  <c r="I41" i="8"/>
  <c r="H41" i="8"/>
  <c r="H14" i="8" s="1"/>
  <c r="G41" i="8"/>
  <c r="G35" i="8" s="1"/>
  <c r="G8" i="8" s="1"/>
  <c r="I39" i="8"/>
  <c r="H39" i="8"/>
  <c r="I38" i="8"/>
  <c r="H38" i="8"/>
  <c r="I37" i="8"/>
  <c r="H37" i="8"/>
  <c r="I36" i="8"/>
  <c r="I9" i="8" s="1"/>
  <c r="H36" i="8"/>
  <c r="K35" i="8"/>
  <c r="J35" i="8"/>
  <c r="H35" i="8"/>
  <c r="F35" i="8"/>
  <c r="E35" i="8"/>
  <c r="D35" i="8"/>
  <c r="D8" i="8" s="1"/>
  <c r="C35" i="8"/>
  <c r="K26" i="8"/>
  <c r="J26" i="8"/>
  <c r="J8" i="8" s="1"/>
  <c r="I26" i="8"/>
  <c r="H26" i="8"/>
  <c r="G26" i="8"/>
  <c r="F26" i="8"/>
  <c r="E26" i="8"/>
  <c r="D26" i="8"/>
  <c r="C26" i="8"/>
  <c r="I24" i="8"/>
  <c r="H24" i="8"/>
  <c r="G24" i="8"/>
  <c r="F24" i="8"/>
  <c r="E24" i="8"/>
  <c r="C24" i="8"/>
  <c r="C15" i="8" s="1"/>
  <c r="I23" i="8"/>
  <c r="H23" i="8"/>
  <c r="G23" i="8"/>
  <c r="G14" i="8" s="1"/>
  <c r="F23" i="8"/>
  <c r="F14" i="8" s="1"/>
  <c r="E23" i="8"/>
  <c r="C23" i="8"/>
  <c r="I22" i="8"/>
  <c r="I13" i="8" s="1"/>
  <c r="H22" i="8"/>
  <c r="H13" i="8" s="1"/>
  <c r="G22" i="8"/>
  <c r="F22" i="8"/>
  <c r="E22" i="8"/>
  <c r="E13" i="8" s="1"/>
  <c r="I21" i="8"/>
  <c r="I12" i="8" s="1"/>
  <c r="H21" i="8"/>
  <c r="G21" i="8"/>
  <c r="F21" i="8"/>
  <c r="F12" i="8" s="1"/>
  <c r="E21" i="8"/>
  <c r="E12" i="8" s="1"/>
  <c r="C21" i="8"/>
  <c r="I20" i="8"/>
  <c r="H20" i="8"/>
  <c r="G20" i="8"/>
  <c r="G11" i="8" s="1"/>
  <c r="F20" i="8"/>
  <c r="F11" i="8" s="1"/>
  <c r="E20" i="8"/>
  <c r="C20" i="8"/>
  <c r="C11" i="8" s="1"/>
  <c r="I19" i="8"/>
  <c r="I17" i="8" s="1"/>
  <c r="H19" i="8"/>
  <c r="G19" i="8"/>
  <c r="F19" i="8"/>
  <c r="F17" i="8" s="1"/>
  <c r="F8" i="8" s="1"/>
  <c r="E19" i="8"/>
  <c r="E17" i="8" s="1"/>
  <c r="E8" i="8" s="1"/>
  <c r="C19" i="8"/>
  <c r="C10" i="8" s="1"/>
  <c r="I18" i="8"/>
  <c r="H18" i="8"/>
  <c r="H9" i="8" s="1"/>
  <c r="G18" i="8"/>
  <c r="G9" i="8" s="1"/>
  <c r="F18" i="8"/>
  <c r="E18" i="8"/>
  <c r="C18" i="8"/>
  <c r="K17" i="8"/>
  <c r="J17" i="8"/>
  <c r="G17" i="8"/>
  <c r="D17" i="8"/>
  <c r="C17" i="8"/>
  <c r="K15" i="8"/>
  <c r="J15" i="8"/>
  <c r="H15" i="8"/>
  <c r="G15" i="8"/>
  <c r="F15" i="8"/>
  <c r="E15" i="8"/>
  <c r="D15" i="8"/>
  <c r="K14" i="8"/>
  <c r="J14" i="8"/>
  <c r="I14" i="8"/>
  <c r="E14" i="8"/>
  <c r="D14" i="8"/>
  <c r="C14" i="8"/>
  <c r="K13" i="8"/>
  <c r="J13" i="8"/>
  <c r="G13" i="8"/>
  <c r="F13" i="8"/>
  <c r="D13" i="8"/>
  <c r="C13" i="8"/>
  <c r="K12" i="8"/>
  <c r="J12" i="8"/>
  <c r="H12" i="8"/>
  <c r="G12" i="8"/>
  <c r="D12" i="8"/>
  <c r="C12" i="8"/>
  <c r="K11" i="8"/>
  <c r="J11" i="8"/>
  <c r="I11" i="8"/>
  <c r="H11" i="8"/>
  <c r="E11" i="8"/>
  <c r="D11" i="8"/>
  <c r="K10" i="8"/>
  <c r="J10" i="8"/>
  <c r="I10" i="8"/>
  <c r="H10" i="8"/>
  <c r="G10" i="8"/>
  <c r="F10" i="8"/>
  <c r="E10" i="8"/>
  <c r="D10" i="8"/>
  <c r="K9" i="8"/>
  <c r="J9" i="8"/>
  <c r="F9" i="8"/>
  <c r="E9" i="8"/>
  <c r="D9" i="8"/>
  <c r="C9" i="8"/>
  <c r="K8" i="8"/>
  <c r="C8" i="8"/>
  <c r="E151" i="8" l="1"/>
  <c r="G151" i="8"/>
  <c r="H17" i="8"/>
  <c r="H8" i="8" s="1"/>
  <c r="I35" i="8"/>
  <c r="I8" i="8" s="1"/>
  <c r="D152" i="8"/>
  <c r="H152" i="8"/>
  <c r="H39" i="7" l="1"/>
  <c r="G39" i="7"/>
  <c r="F39" i="7"/>
  <c r="E39" i="7"/>
  <c r="H38" i="7"/>
  <c r="G38" i="7"/>
  <c r="F38" i="7"/>
  <c r="E38" i="7"/>
  <c r="H37" i="7"/>
  <c r="G37" i="7"/>
  <c r="F37" i="7"/>
  <c r="E37" i="7"/>
  <c r="H36" i="7"/>
  <c r="G36" i="7"/>
  <c r="F36" i="7"/>
  <c r="E36" i="7"/>
  <c r="H35" i="7"/>
  <c r="G35" i="7"/>
  <c r="F35" i="7"/>
  <c r="E35" i="7"/>
  <c r="I15" i="6" l="1"/>
  <c r="I13" i="6"/>
  <c r="I10" i="6"/>
  <c r="I64" i="7"/>
  <c r="I54" i="7"/>
  <c r="I53" i="7"/>
  <c r="I52" i="7"/>
  <c r="I50" i="7"/>
  <c r="I39" i="7"/>
  <c r="I38" i="7"/>
  <c r="I37" i="7"/>
  <c r="I36" i="7"/>
  <c r="I25" i="7"/>
  <c r="I23" i="7"/>
  <c r="I18" i="7"/>
  <c r="I17" i="7"/>
  <c r="I16" i="7"/>
  <c r="I15" i="7"/>
  <c r="I14" i="7"/>
  <c r="I100" i="7"/>
  <c r="I35" i="7" s="1"/>
  <c r="I94" i="7"/>
  <c r="I7" i="7"/>
  <c r="I11" i="7"/>
  <c r="I10" i="7"/>
  <c r="I9" i="7"/>
  <c r="I8" i="7"/>
  <c r="I86" i="5"/>
  <c r="I80" i="5"/>
  <c r="I12" i="5"/>
  <c r="I11" i="5"/>
  <c r="I21" i="7" l="1"/>
  <c r="H64" i="7"/>
  <c r="G64" i="7"/>
  <c r="F64" i="7"/>
  <c r="E64" i="7"/>
  <c r="H54" i="7"/>
  <c r="G54" i="7"/>
  <c r="F54" i="7"/>
  <c r="E54" i="7"/>
  <c r="H53" i="7"/>
  <c r="G53" i="7"/>
  <c r="F53" i="7"/>
  <c r="E53" i="7"/>
  <c r="H52" i="7"/>
  <c r="G52" i="7"/>
  <c r="F52" i="7"/>
  <c r="E52" i="7"/>
  <c r="H51" i="7"/>
  <c r="G51" i="7"/>
  <c r="H50" i="7"/>
  <c r="G50" i="7"/>
  <c r="F50" i="7"/>
  <c r="E50" i="7"/>
  <c r="H25" i="7"/>
  <c r="G25" i="7"/>
  <c r="F25" i="7"/>
  <c r="E25" i="7"/>
  <c r="H23" i="7"/>
  <c r="G23" i="7"/>
  <c r="F23" i="7"/>
  <c r="E23" i="7"/>
  <c r="H21" i="7"/>
  <c r="G21" i="7"/>
  <c r="F21" i="7"/>
  <c r="E21" i="7"/>
  <c r="H18" i="7"/>
  <c r="G18" i="7"/>
  <c r="F18" i="7"/>
  <c r="E18" i="7"/>
  <c r="H17" i="7"/>
  <c r="G17" i="7"/>
  <c r="F17" i="7"/>
  <c r="E17" i="7"/>
  <c r="H16" i="7"/>
  <c r="G16" i="7"/>
  <c r="F16" i="7"/>
  <c r="E16" i="7"/>
  <c r="H15" i="7"/>
  <c r="E15" i="7"/>
  <c r="G15" i="7"/>
  <c r="F15" i="7"/>
  <c r="H14" i="7"/>
  <c r="G14" i="7"/>
  <c r="F14" i="7"/>
  <c r="E14" i="7"/>
  <c r="H11" i="7"/>
  <c r="G11" i="7"/>
  <c r="F11" i="7"/>
  <c r="E11" i="7"/>
  <c r="H10" i="7"/>
  <c r="G10" i="7"/>
  <c r="F10" i="7"/>
  <c r="E10" i="7"/>
  <c r="H9" i="7"/>
  <c r="G9" i="7"/>
  <c r="F9" i="7"/>
  <c r="E9" i="7"/>
  <c r="G8" i="7"/>
  <c r="H8" i="7"/>
  <c r="F8" i="7"/>
  <c r="E8" i="7"/>
  <c r="H7" i="7"/>
  <c r="G7" i="7"/>
  <c r="F7" i="7"/>
  <c r="E7" i="7"/>
  <c r="H15" i="6" l="1"/>
  <c r="G15" i="6"/>
  <c r="F15" i="6"/>
  <c r="E15" i="6"/>
  <c r="D15" i="6"/>
  <c r="C15" i="6"/>
  <c r="H13" i="6"/>
  <c r="G13" i="6"/>
  <c r="F13" i="6"/>
  <c r="E13" i="6"/>
  <c r="D13" i="6"/>
  <c r="C13" i="6"/>
  <c r="H10" i="6"/>
  <c r="G10" i="6"/>
  <c r="F10" i="6"/>
  <c r="E10" i="6"/>
  <c r="D10" i="6"/>
  <c r="C10" i="6"/>
</calcChain>
</file>

<file path=xl/comments1.xml><?xml version="1.0" encoding="utf-8"?>
<comments xmlns="http://schemas.openxmlformats.org/spreadsheetml/2006/main">
  <authors>
    <author>Иванова Анна Евгеньевна</author>
  </authors>
  <commentList>
    <comment ref="H163" authorId="0" shapeId="0">
      <text>
        <r>
          <rPr>
            <b/>
            <sz val="8"/>
            <color indexed="81"/>
            <rFont val="Tahoma"/>
            <family val="2"/>
            <charset val="204"/>
          </rPr>
          <t>Иванова Анна Евгеньевна:</t>
        </r>
        <r>
          <rPr>
            <sz val="8"/>
            <color indexed="81"/>
            <rFont val="Tahoma"/>
            <family val="2"/>
            <charset val="204"/>
          </rPr>
          <t xml:space="preserve">
замена насадок СКП</t>
        </r>
      </text>
    </comment>
    <comment ref="I163" authorId="0" shapeId="0">
      <text>
        <r>
          <rPr>
            <b/>
            <sz val="8"/>
            <color indexed="81"/>
            <rFont val="Tahoma"/>
            <family val="2"/>
            <charset val="204"/>
          </rPr>
          <t>Иванова Анна Евгеньевна:</t>
        </r>
        <r>
          <rPr>
            <sz val="8"/>
            <color indexed="81"/>
            <rFont val="Tahoma"/>
            <family val="2"/>
            <charset val="204"/>
          </rPr>
          <t xml:space="preserve">
Фторид аллюминия и горелки ТЭЦ</t>
        </r>
      </text>
    </comment>
    <comment ref="J163" authorId="0" shapeId="0">
      <text>
        <r>
          <rPr>
            <b/>
            <sz val="8"/>
            <color indexed="81"/>
            <rFont val="Tahoma"/>
            <family val="2"/>
            <charset val="204"/>
          </rPr>
          <t>Иванова Анна Евгеньевна:</t>
        </r>
        <r>
          <rPr>
            <sz val="8"/>
            <color indexed="81"/>
            <rFont val="Tahoma"/>
            <family val="2"/>
            <charset val="204"/>
          </rPr>
          <t xml:space="preserve">
СКП+диклар (ЦПВГС)</t>
        </r>
      </text>
    </comment>
  </commentList>
</comments>
</file>

<file path=xl/sharedStrings.xml><?xml version="1.0" encoding="utf-8"?>
<sst xmlns="http://schemas.openxmlformats.org/spreadsheetml/2006/main" count="1348" uniqueCount="235">
  <si>
    <t>%</t>
  </si>
  <si>
    <t>-</t>
  </si>
  <si>
    <t>Меню</t>
  </si>
  <si>
    <t>ir@phosagro.ru</t>
  </si>
  <si>
    <t>Тел.: +7 495 232 96 89</t>
  </si>
  <si>
    <t>$ mln</t>
  </si>
  <si>
    <t>tons/ $ mln sales</t>
  </si>
  <si>
    <t>LTIFR</t>
  </si>
  <si>
    <t>FIFR</t>
  </si>
  <si>
    <t>2018</t>
  </si>
  <si>
    <t>3</t>
  </si>
  <si>
    <t>33%</t>
  </si>
  <si>
    <t>ESG Data Book</t>
  </si>
  <si>
    <t>of PhosAgro</t>
  </si>
  <si>
    <t>SOCIAL</t>
  </si>
  <si>
    <t>GOVERNANCE</t>
  </si>
  <si>
    <t>Sustainability Department</t>
  </si>
  <si>
    <t>Air pollutant emissions</t>
  </si>
  <si>
    <t>Total Group</t>
  </si>
  <si>
    <t>Kirovsk Branch of Apatit</t>
  </si>
  <si>
    <t>Balakovo Branch of Apatit</t>
  </si>
  <si>
    <t>Volkhov Branch of Apatit</t>
  </si>
  <si>
    <t>Apatit (Cherepovets)</t>
  </si>
  <si>
    <t>Apatit (Cherepovets), including:</t>
  </si>
  <si>
    <t xml:space="preserve">    sulphur dioxide (SO2)</t>
  </si>
  <si>
    <t xml:space="preserve">    nitrogen oxide (NОx)</t>
  </si>
  <si>
    <t>Unit</t>
  </si>
  <si>
    <t>kg/t</t>
  </si>
  <si>
    <t>Goal to 2025</t>
  </si>
  <si>
    <t>mln m3</t>
  </si>
  <si>
    <t>m3/t</t>
  </si>
  <si>
    <t>Pollutant discharges</t>
  </si>
  <si>
    <t>Greenhouse gas emissions</t>
  </si>
  <si>
    <t>n/d</t>
  </si>
  <si>
    <t>Waste generation</t>
  </si>
  <si>
    <t>t/t</t>
  </si>
  <si>
    <t xml:space="preserve">Hazardous waste recycling and disposal (I-IV) </t>
  </si>
  <si>
    <t>Hazardous waste generation (I-IV)</t>
  </si>
  <si>
    <t>RUB mln</t>
  </si>
  <si>
    <t>Total, including:</t>
  </si>
  <si>
    <t>Environmental Expenses</t>
  </si>
  <si>
    <t xml:space="preserve">  current environmental expenses (form №4-ОС)</t>
  </si>
  <si>
    <t xml:space="preserve">  environmental CapEx (form №18-КС)</t>
  </si>
  <si>
    <t xml:space="preserve">  negative environmental impact payments</t>
  </si>
  <si>
    <t xml:space="preserve">  environmental CapEx (not included in form 18 - КС)</t>
  </si>
  <si>
    <t>Production</t>
  </si>
  <si>
    <t>Fertilizers</t>
  </si>
  <si>
    <t>MCP</t>
  </si>
  <si>
    <t>Ammonia</t>
  </si>
  <si>
    <t>Nitrogen acid</t>
  </si>
  <si>
    <t>AN and AN-based</t>
  </si>
  <si>
    <t>Urea</t>
  </si>
  <si>
    <t>Sulphuric acid</t>
  </si>
  <si>
    <t>Phosphoric acid</t>
  </si>
  <si>
    <t>Aluminum fluoride</t>
  </si>
  <si>
    <t>Phosphate rock and nepheline concentrate</t>
  </si>
  <si>
    <t>STPP</t>
  </si>
  <si>
    <t>th t</t>
  </si>
  <si>
    <t>Total</t>
  </si>
  <si>
    <t>Revenue</t>
  </si>
  <si>
    <t>IFRS revenue</t>
  </si>
  <si>
    <t>ENERGY EFFICIENCY</t>
  </si>
  <si>
    <t xml:space="preserve">        Energy efficiency</t>
  </si>
  <si>
    <t>th kWh/t</t>
  </si>
  <si>
    <t>Electricity generated</t>
  </si>
  <si>
    <t>Electricity bought</t>
  </si>
  <si>
    <t>Electricity consumption</t>
  </si>
  <si>
    <t>Electricity self-sufficiency</t>
  </si>
  <si>
    <t>Heating consumption</t>
  </si>
  <si>
    <t>Reused Water</t>
  </si>
  <si>
    <t>Natural gas consumption</t>
  </si>
  <si>
    <t>th m3/t</t>
  </si>
  <si>
    <t>Fuel consumption</t>
  </si>
  <si>
    <t xml:space="preserve">                         Social Indicators</t>
  </si>
  <si>
    <t>people</t>
  </si>
  <si>
    <t>RUB th</t>
  </si>
  <si>
    <t>h</t>
  </si>
  <si>
    <t>age</t>
  </si>
  <si>
    <t>RUB</t>
  </si>
  <si>
    <t>Newly hired staff</t>
  </si>
  <si>
    <t>Staff turnover</t>
  </si>
  <si>
    <t>Average headcount</t>
  </si>
  <si>
    <t>Costs of VHI, professional examinations</t>
  </si>
  <si>
    <t>Support for childhood and motherhood</t>
  </si>
  <si>
    <t>Retirement Benefit</t>
  </si>
  <si>
    <t>Costs for recreation, spa treatment</t>
  </si>
  <si>
    <t>Wellness programs costs</t>
  </si>
  <si>
    <t>Number of people on maternity leave, for childcare</t>
  </si>
  <si>
    <t>Number of people returning to work from maternity leave, childcare</t>
  </si>
  <si>
    <t>Average number of training hours received by employees</t>
  </si>
  <si>
    <t>Human Rights Education</t>
  </si>
  <si>
    <t>Average age</t>
  </si>
  <si>
    <t>Average salary</t>
  </si>
  <si>
    <t>Loyalty and Satisfaction Ratio</t>
  </si>
  <si>
    <t xml:space="preserve">                        Health &amp; Safety</t>
  </si>
  <si>
    <t>Accidents</t>
  </si>
  <si>
    <t>Coverage</t>
  </si>
  <si>
    <t>Accidents, total (employees + contractors)</t>
  </si>
  <si>
    <t>Fatal cases</t>
  </si>
  <si>
    <t>Fatalities, total (employees + contractors)</t>
  </si>
  <si>
    <t>Lost Time Injury Frequency Rate (LTIFR, for 200 th hours), employees</t>
  </si>
  <si>
    <t>Lost Time Injury Frequency Rate (LTIFR, for 1 mln hours), employees</t>
  </si>
  <si>
    <t>index</t>
  </si>
  <si>
    <t>Fatal-Injury Frequency Rate  (FIFR, for 200 th hours), employees</t>
  </si>
  <si>
    <t>Health &amp; Safety expenses</t>
  </si>
  <si>
    <t xml:space="preserve">                        Corporate Governance</t>
  </si>
  <si>
    <t>Total Directors, including:</t>
  </si>
  <si>
    <t>Board of Directors</t>
  </si>
  <si>
    <t>Structure of the Board of Directors</t>
  </si>
  <si>
    <t>yes/no</t>
  </si>
  <si>
    <t xml:space="preserve">       independent directors</t>
  </si>
  <si>
    <t xml:space="preserve">   Chairman of the Board of Directors - Independent Director</t>
  </si>
  <si>
    <t xml:space="preserve">       non-executive directors</t>
  </si>
  <si>
    <t xml:space="preserve">       share of independent directors</t>
  </si>
  <si>
    <t xml:space="preserve">       share of non-executive directors</t>
  </si>
  <si>
    <t xml:space="preserve">       executive directors</t>
  </si>
  <si>
    <t xml:space="preserve">       share of executive directors</t>
  </si>
  <si>
    <t>Number of women on the Board of Directors</t>
  </si>
  <si>
    <t>Number of meetings of the Board of Directors, including:</t>
  </si>
  <si>
    <t xml:space="preserve">       in-person meetings</t>
  </si>
  <si>
    <t>times</t>
  </si>
  <si>
    <t>Years served on the Board of Directors</t>
  </si>
  <si>
    <t>&lt; 1 year</t>
  </si>
  <si>
    <t>1-3 years</t>
  </si>
  <si>
    <t>&gt; 3 years</t>
  </si>
  <si>
    <t>Age of Directors</t>
  </si>
  <si>
    <t>&lt; 40 years old</t>
  </si>
  <si>
    <t>40-60 years old</t>
  </si>
  <si>
    <t>&gt; 60 years old</t>
  </si>
  <si>
    <t>Industry experience</t>
  </si>
  <si>
    <t>sales</t>
  </si>
  <si>
    <t>financial markets</t>
  </si>
  <si>
    <t>finance and audit</t>
  </si>
  <si>
    <t>chemical, mining</t>
  </si>
  <si>
    <t>Committees of the Board of Directors</t>
  </si>
  <si>
    <t>Audit Committee</t>
  </si>
  <si>
    <t>yes</t>
  </si>
  <si>
    <t>Share of independent directors</t>
  </si>
  <si>
    <t>Chairman of Committee - independent director</t>
  </si>
  <si>
    <t>Meetings of the Committee</t>
  </si>
  <si>
    <t>Risk management Committee</t>
  </si>
  <si>
    <t>no</t>
  </si>
  <si>
    <t>Remuniration and Human resources Committee</t>
  </si>
  <si>
    <t>Strategy Committee</t>
  </si>
  <si>
    <t>Environment, Health &amp; Safety Committee</t>
  </si>
  <si>
    <t>Management Board</t>
  </si>
  <si>
    <t>Number of Board Members</t>
  </si>
  <si>
    <t>Meetings of the Management Board</t>
  </si>
  <si>
    <t>Risk management and internal control unit(s)</t>
  </si>
  <si>
    <t>Existance of a separate risk management and internal control unit (s)</t>
  </si>
  <si>
    <t>Board of Directors Internal Audit Unit</t>
  </si>
  <si>
    <t>Internal audit Department</t>
  </si>
  <si>
    <t>Auditor Remuneration</t>
  </si>
  <si>
    <t>Auditor's fee</t>
  </si>
  <si>
    <t>0,79 / 2,12</t>
  </si>
  <si>
    <t xml:space="preserve">  environmental fines / damages </t>
  </si>
  <si>
    <t>2019*</t>
  </si>
  <si>
    <t>Gcal/t</t>
  </si>
  <si>
    <t>да</t>
  </si>
  <si>
    <t>2019</t>
  </si>
  <si>
    <t>Sustainable Development Commettee</t>
  </si>
  <si>
    <t>Water withdrawal *</t>
  </si>
  <si>
    <t>Goal to 2025 ***</t>
  </si>
  <si>
    <t xml:space="preserve">*** New goals to 2025 were approved for Air Pollutants Emissions. Previous goal 2025 of 0,996 kg/t were archived in advance. </t>
  </si>
  <si>
    <t>Wastewater discharge **</t>
  </si>
  <si>
    <t>Goal to 2025 ****</t>
  </si>
  <si>
    <t>* Data from state statistical form 2-TP (water) reviewed according to GRI 303 standard were used for calculations of water withdrawal. For the period of 2013-2018 water received from other systems of water discharges (external parties) and storm water were not included into calculations.</t>
  </si>
  <si>
    <t xml:space="preserve">**  Data from state statistical form 2-TP (water) reviewed according to GRI 303 standard were used for calculations of wastewater discharge. For the period of 2013-2018 wastewater transferred to external parties were not included into calculations. </t>
  </si>
  <si>
    <t>ATMOSPHERIC AIR</t>
  </si>
  <si>
    <t xml:space="preserve">UNIT </t>
  </si>
  <si>
    <t xml:space="preserve">Total Group </t>
  </si>
  <si>
    <t xml:space="preserve">Summ of pollutants, including: </t>
  </si>
  <si>
    <r>
      <t xml:space="preserve">    sulphur dioxide (SO</t>
    </r>
    <r>
      <rPr>
        <vertAlign val="subscript"/>
        <sz val="10"/>
        <color indexed="8"/>
        <rFont val="Tahoma"/>
        <family val="2"/>
        <charset val="204"/>
      </rPr>
      <t>2</t>
    </r>
    <r>
      <rPr>
        <sz val="10"/>
        <color indexed="8"/>
        <rFont val="Tahoma"/>
        <family val="2"/>
        <charset val="204"/>
      </rPr>
      <t>)</t>
    </r>
  </si>
  <si>
    <t>carbon oxide (СО)</t>
  </si>
  <si>
    <t xml:space="preserve">   solid particles </t>
  </si>
  <si>
    <t>hydrocarbons (with no VOC)</t>
  </si>
  <si>
    <t xml:space="preserve">VOC </t>
  </si>
  <si>
    <t xml:space="preserve">    other substances </t>
  </si>
  <si>
    <t xml:space="preserve">Cherepovets site </t>
  </si>
  <si>
    <t xml:space="preserve">Balakovo branch </t>
  </si>
  <si>
    <t xml:space="preserve">Kirovsk branch </t>
  </si>
  <si>
    <t xml:space="preserve"> "Metakhim", Volkhov branch of the JSC "Apatit"</t>
  </si>
  <si>
    <r>
      <t>Greenhouse gas emissions, СО</t>
    </r>
    <r>
      <rPr>
        <b/>
        <vertAlign val="subscript"/>
        <sz val="10"/>
        <color theme="1"/>
        <rFont val="Tahoma"/>
        <family val="2"/>
        <charset val="204"/>
      </rPr>
      <t>2</t>
    </r>
    <r>
      <rPr>
        <b/>
        <sz val="10"/>
        <color theme="1"/>
        <rFont val="Tahoma"/>
        <family val="2"/>
        <charset val="204"/>
      </rPr>
      <t xml:space="preserve"> e. (direct), scope 1</t>
    </r>
  </si>
  <si>
    <r>
      <t>Greenhouse gas emissions, СО</t>
    </r>
    <r>
      <rPr>
        <b/>
        <vertAlign val="subscript"/>
        <sz val="10"/>
        <color theme="1"/>
        <rFont val="Tahoma"/>
        <family val="2"/>
        <charset val="204"/>
      </rPr>
      <t>2</t>
    </r>
    <r>
      <rPr>
        <b/>
        <sz val="10"/>
        <color theme="1"/>
        <rFont val="Tahoma"/>
        <family val="2"/>
        <charset val="204"/>
      </rPr>
      <t xml:space="preserve"> e., scope 2</t>
    </r>
  </si>
  <si>
    <r>
      <t>Greenhouse gas emissions, СО</t>
    </r>
    <r>
      <rPr>
        <b/>
        <vertAlign val="subscript"/>
        <sz val="10"/>
        <color theme="1"/>
        <rFont val="Tahoma"/>
        <family val="2"/>
        <charset val="204"/>
      </rPr>
      <t>2</t>
    </r>
    <r>
      <rPr>
        <b/>
        <sz val="10"/>
        <color theme="1"/>
        <rFont val="Tahoma"/>
        <family val="2"/>
        <charset val="204"/>
      </rPr>
      <t xml:space="preserve"> e., scope 3</t>
    </r>
  </si>
  <si>
    <t xml:space="preserve">WATER MANAGEMENT </t>
  </si>
  <si>
    <t>Water withdrawal</t>
  </si>
  <si>
    <t>Total water withdrawal</t>
  </si>
  <si>
    <t xml:space="preserve">Wastewater discharge </t>
  </si>
  <si>
    <t>Total wastawater discharge, including:</t>
  </si>
  <si>
    <t xml:space="preserve">    wastewater treated according to standard and clean water </t>
  </si>
  <si>
    <t>Pollutant discharges with wastewater</t>
  </si>
  <si>
    <t>тыс. т</t>
  </si>
  <si>
    <t xml:space="preserve">WASTE MANAGEMENT </t>
  </si>
  <si>
    <t>Total amount of waste by type and disposal method</t>
  </si>
  <si>
    <t>mln t</t>
  </si>
  <si>
    <t xml:space="preserve">    including waste of I-IV hazard class </t>
  </si>
  <si>
    <t xml:space="preserve">Waste processing (utilisation) on own facility </t>
  </si>
  <si>
    <t xml:space="preserve">Waste disposal at own waste disposal facilities </t>
  </si>
  <si>
    <t xml:space="preserve">Waste processing (utilisation) on own facility, including  </t>
  </si>
  <si>
    <t xml:space="preserve">Overburden and concentration tailings </t>
  </si>
  <si>
    <t xml:space="preserve">Waste disposal at own waste disposal facilities, including </t>
  </si>
  <si>
    <t xml:space="preserve">overburden and concentration tailings </t>
  </si>
  <si>
    <t>I-IV hazard class waste processing and decontamination</t>
  </si>
  <si>
    <t>I-IV hazard class waste processing (utilisation) and decontamination</t>
  </si>
  <si>
    <t>t</t>
  </si>
  <si>
    <t>SPENDING on environmental protection</t>
  </si>
  <si>
    <t xml:space="preserve">Spending on environmtental protection </t>
  </si>
  <si>
    <t>Environemntla protection spending, including:</t>
  </si>
  <si>
    <t>th RUB</t>
  </si>
  <si>
    <t>operating costs of environmental protection (form 4-OS)</t>
  </si>
  <si>
    <t>investments in fixed assets aimed at environmental protection and sustainable use of natural resources (form 18-KS)</t>
  </si>
  <si>
    <t>environmental impact payments</t>
  </si>
  <si>
    <t>environmental fines and damages</t>
  </si>
  <si>
    <t>investments in fixed assets aimed at environmental protection (excluded from Form 18-KS)</t>
  </si>
  <si>
    <t xml:space="preserve">                        Environmental Indicators, total </t>
  </si>
  <si>
    <t xml:space="preserve">                        Environmental Indicators, net </t>
  </si>
  <si>
    <t>ENVIRONMENT net</t>
  </si>
  <si>
    <t>ENVIRONMENT total</t>
  </si>
  <si>
    <t>n/a</t>
  </si>
  <si>
    <t>Goal to 2025*****</t>
  </si>
  <si>
    <t xml:space="preserve">***** Scope 1 GHG emission goal to 2028. </t>
  </si>
  <si>
    <t>н/д</t>
  </si>
  <si>
    <t xml:space="preserve">Liquefied natural gas </t>
  </si>
  <si>
    <t xml:space="preserve">Diesel </t>
  </si>
  <si>
    <t xml:space="preserve">Fatalities (contractors) </t>
  </si>
  <si>
    <t xml:space="preserve">Fatalities (employees) </t>
  </si>
  <si>
    <t>Accidents (contractors) 
(except fatal)</t>
  </si>
  <si>
    <t>Accidents (employees) 
(except fatal)</t>
  </si>
  <si>
    <t>2020</t>
  </si>
  <si>
    <t xml:space="preserve">yes </t>
  </si>
  <si>
    <t xml:space="preserve">no </t>
  </si>
  <si>
    <t xml:space="preserve">* Internal data collection and calculation methodology was reviewed in 2019. </t>
  </si>
  <si>
    <t>Heating oil</t>
  </si>
  <si>
    <t xml:space="preserve">**** New goals to 2025 were approved for water withdrawal and wastewater discharges. Previous goal 2025 for wastewater discharges were reviewd as part of the new Coporate Water Strategy.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</si>
</sst>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"/>
    <numFmt numFmtId="165" formatCode="0.0"/>
    <numFmt numFmtId="166" formatCode="0.000"/>
    <numFmt numFmtId="167" formatCode="#,##0.000"/>
    <numFmt numFmtId="168" formatCode="#,##0.000000"/>
    <numFmt numFmtId="169" formatCode="0.000000"/>
    <numFmt numFmtId="170" formatCode="#,##0.00000"/>
    <numFmt numFmtId="171" formatCode="0.0000"/>
    <numFmt numFmtId="172" formatCode="0.00000"/>
    <numFmt numFmtId="173" formatCode="#,##0.0000000"/>
    <numFmt numFmtId="174" formatCode="#,##0.00000000"/>
    <numFmt numFmtId="175" formatCode="0.0000000"/>
  </numFmts>
  <fonts count="6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63"/>
      <name val="Tahoma"/>
      <family val="2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  <font>
      <b/>
      <sz val="12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2"/>
      <color theme="1" tint="0.34998626667073579"/>
      <name val="Arial"/>
      <family val="2"/>
      <charset val="204"/>
    </font>
    <font>
      <sz val="12"/>
      <color theme="1" tint="0.34998626667073579"/>
      <name val="Tahoma"/>
      <family val="2"/>
      <charset val="204"/>
    </font>
    <font>
      <sz val="10"/>
      <color theme="1" tint="0.34998626667073579"/>
      <name val="Arial"/>
      <family val="2"/>
      <charset val="204"/>
    </font>
    <font>
      <b/>
      <sz val="18"/>
      <color theme="1" tint="0.34998626667073579"/>
      <name val="PTSansPro-Regular"/>
      <family val="2"/>
    </font>
    <font>
      <sz val="12"/>
      <color theme="1" tint="0.34998626667073579"/>
      <name val="PTSansPro-Regular"/>
      <family val="2"/>
    </font>
    <font>
      <b/>
      <sz val="12"/>
      <color theme="1" tint="0.34998626667073579"/>
      <name val="PTSansPro-Regular"/>
      <family val="2"/>
    </font>
    <font>
      <u/>
      <sz val="11"/>
      <color theme="10"/>
      <name val="PTSansPro-Regular"/>
      <family val="2"/>
    </font>
    <font>
      <b/>
      <sz val="12"/>
      <color theme="0"/>
      <name val="PTSansPro-Regular"/>
      <family val="2"/>
    </font>
    <font>
      <sz val="10"/>
      <color theme="0"/>
      <name val="PTSansPro-Regular"/>
      <family val="2"/>
    </font>
    <font>
      <sz val="9"/>
      <color theme="1"/>
      <name val="PTSansPro-Regular"/>
      <family val="2"/>
    </font>
    <font>
      <sz val="9"/>
      <color indexed="8"/>
      <name val="PTSansPro-Regular"/>
      <family val="2"/>
    </font>
    <font>
      <b/>
      <sz val="9"/>
      <color theme="1"/>
      <name val="PTSansPro-Regular"/>
      <family val="2"/>
    </font>
    <font>
      <sz val="9"/>
      <color indexed="63"/>
      <name val="PTSansPro-Regular"/>
      <family val="2"/>
    </font>
    <font>
      <b/>
      <sz val="9"/>
      <color indexed="8"/>
      <name val="PTSansPro-Regular"/>
      <family val="2"/>
    </font>
    <font>
      <sz val="8"/>
      <color theme="1"/>
      <name val="PTSansPro-Regular"/>
      <family val="2"/>
    </font>
    <font>
      <i/>
      <sz val="9"/>
      <color indexed="8"/>
      <name val="PTSansPro-Regular"/>
      <family val="2"/>
    </font>
    <font>
      <i/>
      <sz val="9"/>
      <color indexed="63"/>
      <name val="PTSansPro-Regular"/>
      <family val="2"/>
    </font>
    <font>
      <i/>
      <sz val="9"/>
      <color theme="1"/>
      <name val="PTSansPro-Regular"/>
      <family val="2"/>
    </font>
    <font>
      <i/>
      <sz val="8"/>
      <color theme="1"/>
      <name val="PTSansPro-Regular"/>
      <family val="2"/>
    </font>
    <font>
      <sz val="8"/>
      <color indexed="8"/>
      <name val="PTSansPro-Regular"/>
      <family val="2"/>
    </font>
    <font>
      <sz val="8"/>
      <name val="PTSansPro-Regular"/>
      <family val="2"/>
    </font>
    <font>
      <b/>
      <sz val="11"/>
      <color theme="1"/>
      <name val="Calibri"/>
      <family val="2"/>
      <charset val="204"/>
      <scheme val="minor"/>
    </font>
    <font>
      <sz val="9"/>
      <name val="PTSansPro-Regular"/>
      <family val="2"/>
    </font>
    <font>
      <i/>
      <sz val="9"/>
      <name val="PTSansPro-Regular"/>
      <family val="2"/>
    </font>
    <font>
      <sz val="9"/>
      <color theme="1"/>
      <name val="PTSansPro-Regular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indexed="8"/>
      <name val="Tahoma"/>
      <family val="2"/>
      <charset val="204"/>
    </font>
    <font>
      <vertAlign val="subscript"/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vertAlign val="subscript"/>
      <sz val="10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Calibri"/>
      <family val="2"/>
      <scheme val="minor"/>
    </font>
    <font>
      <sz val="10"/>
      <color rgb="FFC00000"/>
      <name val="Tahoma"/>
      <family val="2"/>
      <charset val="204"/>
    </font>
    <font>
      <sz val="11"/>
      <color rgb="FFC00000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theme="0"/>
      <name val="PTSansPro-Regular"/>
      <family val="2"/>
    </font>
    <font>
      <b/>
      <sz val="10"/>
      <name val="PTSansPro-Regular"/>
      <charset val="204"/>
    </font>
    <font>
      <sz val="11"/>
      <name val="Calibri"/>
      <family val="2"/>
      <charset val="204"/>
      <scheme val="minor"/>
    </font>
    <font>
      <b/>
      <sz val="14"/>
      <name val="PTSansPro-Regular"/>
      <family val="2"/>
    </font>
    <font>
      <b/>
      <sz val="14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3" borderId="0" applyNumberFormat="0" applyBorder="0" applyProtection="0">
      <alignment horizontal="center"/>
    </xf>
    <xf numFmtId="0" fontId="3" fillId="3" borderId="1"/>
    <xf numFmtId="0" fontId="5" fillId="3" borderId="1"/>
    <xf numFmtId="3" fontId="4" fillId="3" borderId="2">
      <alignment horizontal="right"/>
    </xf>
    <xf numFmtId="0" fontId="6" fillId="0" borderId="0" applyNumberFormat="0" applyFill="0" applyBorder="0" applyAlignment="0" applyProtection="0"/>
    <xf numFmtId="0" fontId="7" fillId="0" borderId="0"/>
    <xf numFmtId="164" fontId="4" fillId="3" borderId="2">
      <alignment horizontal="right"/>
    </xf>
    <xf numFmtId="164" fontId="5" fillId="3" borderId="2">
      <alignment horizontal="right"/>
    </xf>
  </cellStyleXfs>
  <cellXfs count="377">
    <xf numFmtId="0" fontId="0" fillId="0" borderId="0" xfId="0"/>
    <xf numFmtId="0" fontId="1" fillId="2" borderId="0" xfId="1" applyFill="1"/>
    <xf numFmtId="0" fontId="8" fillId="0" borderId="0" xfId="0" applyFont="1"/>
    <xf numFmtId="0" fontId="0" fillId="0" borderId="0" xfId="0" applyFill="1" applyBorder="1"/>
    <xf numFmtId="0" fontId="8" fillId="0" borderId="0" xfId="7" applyFont="1"/>
    <xf numFmtId="0" fontId="9" fillId="3" borderId="0" xfId="4" applyNumberFormat="1" applyFont="1" applyFill="1" applyBorder="1" applyAlignment="1" applyProtection="1">
      <alignment horizontal="left"/>
    </xf>
    <xf numFmtId="0" fontId="0" fillId="0" borderId="0" xfId="0" applyBorder="1"/>
    <xf numFmtId="0" fontId="10" fillId="0" borderId="0" xfId="3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/>
    <xf numFmtId="0" fontId="11" fillId="2" borderId="0" xfId="1" applyFont="1" applyFill="1"/>
    <xf numFmtId="0" fontId="1" fillId="2" borderId="0" xfId="1" applyFill="1" applyBorder="1"/>
    <xf numFmtId="0" fontId="12" fillId="2" borderId="0" xfId="1" applyFont="1" applyFill="1" applyBorder="1"/>
    <xf numFmtId="0" fontId="13" fillId="2" borderId="0" xfId="1" applyFont="1" applyFill="1"/>
    <xf numFmtId="0" fontId="14" fillId="2" borderId="0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6" fillId="2" borderId="0" xfId="1" applyFont="1" applyFill="1" applyBorder="1"/>
    <xf numFmtId="0" fontId="17" fillId="2" borderId="0" xfId="1" applyFont="1" applyFill="1"/>
    <xf numFmtId="0" fontId="18" fillId="2" borderId="0" xfId="1" applyFont="1" applyFill="1" applyBorder="1"/>
    <xf numFmtId="0" fontId="19" fillId="2" borderId="0" xfId="1" applyFont="1" applyFill="1"/>
    <xf numFmtId="0" fontId="20" fillId="2" borderId="0" xfId="1" applyFont="1" applyFill="1"/>
    <xf numFmtId="0" fontId="21" fillId="2" borderId="0" xfId="1" applyFont="1" applyFill="1"/>
    <xf numFmtId="0" fontId="22" fillId="2" borderId="0" xfId="6" applyFont="1" applyFill="1"/>
    <xf numFmtId="0" fontId="0" fillId="5" borderId="0" xfId="0" applyFill="1" applyBorder="1"/>
    <xf numFmtId="0" fontId="24" fillId="5" borderId="0" xfId="1" applyFont="1" applyFill="1" applyBorder="1"/>
    <xf numFmtId="0" fontId="26" fillId="3" borderId="7" xfId="4" applyNumberFormat="1" applyFont="1" applyFill="1" applyBorder="1" applyAlignment="1" applyProtection="1"/>
    <xf numFmtId="0" fontId="26" fillId="3" borderId="7" xfId="4" applyNumberFormat="1" applyFont="1" applyFill="1" applyBorder="1" applyAlignment="1" applyProtection="1">
      <alignment horizontal="left"/>
    </xf>
    <xf numFmtId="0" fontId="26" fillId="3" borderId="11" xfId="4" applyNumberFormat="1" applyFont="1" applyFill="1" applyBorder="1" applyAlignment="1" applyProtection="1">
      <alignment horizontal="left"/>
    </xf>
    <xf numFmtId="164" fontId="28" fillId="3" borderId="0" xfId="3" applyNumberFormat="1" applyFont="1" applyFill="1" applyBorder="1" applyAlignment="1" applyProtection="1">
      <alignment horizontal="center"/>
    </xf>
    <xf numFmtId="164" fontId="28" fillId="3" borderId="9" xfId="3" applyNumberFormat="1" applyFont="1" applyFill="1" applyBorder="1" applyAlignment="1" applyProtection="1">
      <alignment horizontal="center"/>
    </xf>
    <xf numFmtId="164" fontId="28" fillId="3" borderId="12" xfId="3" applyNumberFormat="1" applyFont="1" applyFill="1" applyBorder="1" applyAlignment="1" applyProtection="1">
      <alignment horizontal="center"/>
    </xf>
    <xf numFmtId="166" fontId="25" fillId="0" borderId="0" xfId="0" applyNumberFormat="1" applyFont="1" applyAlignment="1">
      <alignment horizontal="center" vertical="center"/>
    </xf>
    <xf numFmtId="166" fontId="25" fillId="0" borderId="8" xfId="0" applyNumberFormat="1" applyFont="1" applyBorder="1" applyAlignment="1">
      <alignment horizontal="center" vertical="center"/>
    </xf>
    <xf numFmtId="166" fontId="25" fillId="0" borderId="6" xfId="0" applyNumberFormat="1" applyFont="1" applyBorder="1" applyAlignment="1">
      <alignment horizontal="center" vertical="center"/>
    </xf>
    <xf numFmtId="166" fontId="25" fillId="0" borderId="10" xfId="0" applyNumberFormat="1" applyFont="1" applyBorder="1" applyAlignment="1">
      <alignment horizontal="center" vertical="center"/>
    </xf>
    <xf numFmtId="0" fontId="24" fillId="5" borderId="0" xfId="1" applyFont="1" applyFill="1" applyBorder="1" applyAlignment="1">
      <alignment horizontal="center" vertical="center"/>
    </xf>
    <xf numFmtId="164" fontId="28" fillId="3" borderId="8" xfId="3" applyNumberFormat="1" applyFont="1" applyFill="1" applyBorder="1" applyAlignment="1" applyProtection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24" fillId="5" borderId="0" xfId="1" applyFont="1" applyFill="1" applyBorder="1" applyAlignment="1">
      <alignment horizontal="center"/>
    </xf>
    <xf numFmtId="165" fontId="25" fillId="0" borderId="6" xfId="0" applyNumberFormat="1" applyFont="1" applyBorder="1" applyAlignment="1">
      <alignment horizontal="center" vertical="center"/>
    </xf>
    <xf numFmtId="0" fontId="24" fillId="6" borderId="0" xfId="1" applyFont="1" applyFill="1" applyBorder="1"/>
    <xf numFmtId="0" fontId="24" fillId="6" borderId="0" xfId="1" applyFont="1" applyFill="1" applyBorder="1" applyAlignment="1">
      <alignment horizontal="center"/>
    </xf>
    <xf numFmtId="0" fontId="24" fillId="6" borderId="0" xfId="1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0" fillId="0" borderId="0" xfId="0" applyNumberFormat="1"/>
    <xf numFmtId="3" fontId="25" fillId="0" borderId="8" xfId="0" applyNumberFormat="1" applyFont="1" applyBorder="1" applyAlignment="1">
      <alignment horizontal="center" vertical="center"/>
    </xf>
    <xf numFmtId="3" fontId="0" fillId="0" borderId="8" xfId="0" applyNumberFormat="1" applyBorder="1"/>
    <xf numFmtId="0" fontId="29" fillId="3" borderId="20" xfId="4" applyNumberFormat="1" applyFont="1" applyFill="1" applyBorder="1" applyAlignment="1" applyProtection="1">
      <alignment horizontal="left"/>
    </xf>
    <xf numFmtId="3" fontId="27" fillId="0" borderId="5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5" fillId="0" borderId="9" xfId="0" applyFont="1" applyBorder="1"/>
    <xf numFmtId="0" fontId="25" fillId="0" borderId="12" xfId="0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166" fontId="25" fillId="0" borderId="12" xfId="0" applyNumberFormat="1" applyFont="1" applyBorder="1" applyAlignment="1">
      <alignment horizontal="center" vertical="center"/>
    </xf>
    <xf numFmtId="0" fontId="26" fillId="3" borderId="11" xfId="4" applyNumberFormat="1" applyFont="1" applyFill="1" applyBorder="1" applyAlignment="1" applyProtection="1"/>
    <xf numFmtId="165" fontId="25" fillId="0" borderId="12" xfId="0" applyNumberFormat="1" applyFont="1" applyBorder="1" applyAlignment="1">
      <alignment horizontal="center" vertical="center"/>
    </xf>
    <xf numFmtId="0" fontId="26" fillId="3" borderId="7" xfId="4" applyNumberFormat="1" applyFont="1" applyFill="1" applyBorder="1" applyAlignment="1" applyProtection="1">
      <alignment wrapText="1"/>
    </xf>
    <xf numFmtId="0" fontId="26" fillId="3" borderId="7" xfId="4" applyNumberFormat="1" applyFont="1" applyFill="1" applyBorder="1" applyAlignment="1" applyProtection="1">
      <alignment horizontal="left" wrapText="1"/>
    </xf>
    <xf numFmtId="0" fontId="26" fillId="3" borderId="11" xfId="4" applyNumberFormat="1" applyFont="1" applyFill="1" applyBorder="1" applyAlignment="1" applyProtection="1">
      <alignment wrapText="1"/>
    </xf>
    <xf numFmtId="164" fontId="25" fillId="0" borderId="0" xfId="0" applyNumberFormat="1" applyFont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3" fillId="5" borderId="0" xfId="1" applyFont="1" applyFill="1" applyBorder="1" applyAlignment="1"/>
    <xf numFmtId="0" fontId="23" fillId="5" borderId="0" xfId="1" applyFont="1" applyFill="1" applyBorder="1" applyAlignment="1">
      <alignment horizontal="center"/>
    </xf>
    <xf numFmtId="1" fontId="25" fillId="0" borderId="8" xfId="0" applyNumberFormat="1" applyFont="1" applyBorder="1" applyAlignment="1">
      <alignment horizontal="center" vertical="center"/>
    </xf>
    <xf numFmtId="1" fontId="25" fillId="0" borderId="0" xfId="0" applyNumberFormat="1" applyFont="1" applyBorder="1" applyAlignment="1">
      <alignment horizontal="center" vertical="center"/>
    </xf>
    <xf numFmtId="1" fontId="25" fillId="0" borderId="6" xfId="0" applyNumberFormat="1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0" fontId="26" fillId="3" borderId="20" xfId="4" applyNumberFormat="1" applyFont="1" applyFill="1" applyBorder="1" applyAlignment="1" applyProtection="1">
      <alignment vertical="top" wrapText="1"/>
    </xf>
    <xf numFmtId="1" fontId="25" fillId="0" borderId="19" xfId="0" applyNumberFormat="1" applyFont="1" applyBorder="1" applyAlignment="1">
      <alignment horizontal="center" vertical="center"/>
    </xf>
    <xf numFmtId="1" fontId="25" fillId="0" borderId="17" xfId="0" applyNumberFormat="1" applyFont="1" applyBorder="1" applyAlignment="1">
      <alignment horizontal="center" vertical="center"/>
    </xf>
    <xf numFmtId="0" fontId="26" fillId="3" borderId="0" xfId="4" applyNumberFormat="1" applyFont="1" applyFill="1" applyBorder="1" applyAlignment="1" applyProtection="1">
      <alignment vertical="top" wrapText="1"/>
    </xf>
    <xf numFmtId="164" fontId="28" fillId="3" borderId="7" xfId="3" applyNumberFormat="1" applyFont="1" applyFill="1" applyBorder="1" applyAlignment="1" applyProtection="1">
      <alignment horizontal="left"/>
    </xf>
    <xf numFmtId="164" fontId="28" fillId="3" borderId="11" xfId="3" applyNumberFormat="1" applyFont="1" applyFill="1" applyBorder="1" applyAlignment="1" applyProtection="1">
      <alignment horizontal="left"/>
    </xf>
    <xf numFmtId="164" fontId="25" fillId="0" borderId="14" xfId="0" applyNumberFormat="1" applyFont="1" applyBorder="1" applyAlignment="1">
      <alignment horizontal="center" vertical="center"/>
    </xf>
    <xf numFmtId="164" fontId="25" fillId="0" borderId="21" xfId="0" applyNumberFormat="1" applyFont="1" applyBorder="1" applyAlignment="1">
      <alignment horizontal="center" vertical="center"/>
    </xf>
    <xf numFmtId="164" fontId="28" fillId="3" borderId="0" xfId="3" applyNumberFormat="1" applyFont="1" applyFill="1" applyBorder="1" applyAlignment="1" applyProtection="1">
      <alignment horizontal="left"/>
    </xf>
    <xf numFmtId="0" fontId="30" fillId="0" borderId="0" xfId="0" applyFont="1"/>
    <xf numFmtId="0" fontId="25" fillId="0" borderId="3" xfId="7" applyFont="1" applyBorder="1" applyAlignment="1">
      <alignment horizontal="center" vertical="center"/>
    </xf>
    <xf numFmtId="0" fontId="31" fillId="3" borderId="0" xfId="4" applyNumberFormat="1" applyFont="1" applyFill="1" applyBorder="1" applyAlignment="1" applyProtection="1">
      <alignment horizontal="left"/>
    </xf>
    <xf numFmtId="164" fontId="32" fillId="3" borderId="0" xfId="3" applyNumberFormat="1" applyFont="1" applyFill="1" applyBorder="1" applyAlignment="1" applyProtection="1">
      <alignment horizontal="center"/>
    </xf>
    <xf numFmtId="1" fontId="33" fillId="0" borderId="0" xfId="7" applyNumberFormat="1" applyFont="1" applyBorder="1" applyAlignment="1">
      <alignment horizontal="center" vertical="center"/>
    </xf>
    <xf numFmtId="0" fontId="25" fillId="0" borderId="4" xfId="7" applyFont="1" applyBorder="1" applyAlignment="1">
      <alignment horizontal="center" vertical="center"/>
    </xf>
    <xf numFmtId="9" fontId="25" fillId="0" borderId="3" xfId="7" applyNumberFormat="1" applyFont="1" applyBorder="1" applyAlignment="1">
      <alignment horizontal="center" vertical="center"/>
    </xf>
    <xf numFmtId="9" fontId="25" fillId="0" borderId="25" xfId="7" applyNumberFormat="1" applyFont="1" applyBorder="1" applyAlignment="1">
      <alignment horizontal="center" vertical="center"/>
    </xf>
    <xf numFmtId="9" fontId="25" fillId="0" borderId="4" xfId="7" applyNumberFormat="1" applyFont="1" applyBorder="1" applyAlignment="1">
      <alignment horizontal="center" vertical="center"/>
    </xf>
    <xf numFmtId="0" fontId="24" fillId="5" borderId="0" xfId="1" applyFont="1" applyFill="1" applyBorder="1" applyAlignment="1">
      <alignment wrapText="1"/>
    </xf>
    <xf numFmtId="0" fontId="24" fillId="5" borderId="0" xfId="1" applyFont="1" applyFill="1" applyBorder="1" applyAlignment="1">
      <alignment horizontal="center" vertical="top"/>
    </xf>
    <xf numFmtId="0" fontId="26" fillId="3" borderId="11" xfId="4" applyNumberFormat="1" applyFont="1" applyFill="1" applyBorder="1" applyAlignment="1" applyProtection="1">
      <alignment horizontal="left" wrapText="1"/>
    </xf>
    <xf numFmtId="164" fontId="28" fillId="3" borderId="12" xfId="3" applyNumberFormat="1" applyFont="1" applyFill="1" applyBorder="1" applyAlignment="1" applyProtection="1">
      <alignment horizontal="center" vertical="center"/>
    </xf>
    <xf numFmtId="165" fontId="25" fillId="0" borderId="4" xfId="7" applyNumberFormat="1" applyFont="1" applyBorder="1" applyAlignment="1">
      <alignment horizontal="center" vertical="center"/>
    </xf>
    <xf numFmtId="0" fontId="34" fillId="0" borderId="0" xfId="7" applyFont="1" applyFill="1" applyBorder="1"/>
    <xf numFmtId="3" fontId="35" fillId="0" borderId="0" xfId="5" applyNumberFormat="1" applyFont="1" applyFill="1" applyBorder="1" applyAlignment="1" applyProtection="1">
      <alignment horizontal="center"/>
    </xf>
    <xf numFmtId="3" fontId="35" fillId="0" borderId="0" xfId="5" applyNumberFormat="1" applyFont="1" applyFill="1" applyBorder="1" applyAlignment="1" applyProtection="1">
      <alignment horizontal="right"/>
    </xf>
    <xf numFmtId="3" fontId="36" fillId="0" borderId="0" xfId="1" applyNumberFormat="1" applyFont="1" applyFill="1" applyBorder="1" applyAlignment="1">
      <alignment horizontal="right"/>
    </xf>
    <xf numFmtId="164" fontId="28" fillId="3" borderId="9" xfId="3" applyNumberFormat="1" applyFont="1" applyFill="1" applyBorder="1" applyAlignment="1" applyProtection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0" fontId="24" fillId="5" borderId="0" xfId="1" applyFont="1" applyFill="1" applyBorder="1" applyAlignment="1">
      <alignment horizontal="center" vertical="center"/>
    </xf>
    <xf numFmtId="164" fontId="28" fillId="3" borderId="14" xfId="3" applyNumberFormat="1" applyFont="1" applyFill="1" applyBorder="1" applyAlignment="1" applyProtection="1">
      <alignment horizontal="center"/>
    </xf>
    <xf numFmtId="164" fontId="28" fillId="3" borderId="21" xfId="3" applyNumberFormat="1" applyFont="1" applyFill="1" applyBorder="1" applyAlignment="1" applyProtection="1">
      <alignment horizontal="center"/>
    </xf>
    <xf numFmtId="164" fontId="25" fillId="0" borderId="0" xfId="0" applyNumberFormat="1" applyFont="1" applyBorder="1" applyAlignment="1">
      <alignment horizontal="center" vertical="center"/>
    </xf>
    <xf numFmtId="0" fontId="26" fillId="3" borderId="0" xfId="4" applyNumberFormat="1" applyFont="1" applyFill="1" applyBorder="1" applyAlignment="1" applyProtection="1">
      <alignment horizontal="left"/>
    </xf>
    <xf numFmtId="0" fontId="24" fillId="5" borderId="0" xfId="1" applyFont="1" applyFill="1" applyBorder="1" applyAlignment="1">
      <alignment horizontal="center" vertical="center"/>
    </xf>
    <xf numFmtId="0" fontId="24" fillId="5" borderId="0" xfId="1" applyFont="1" applyFill="1" applyBorder="1" applyAlignment="1">
      <alignment vertical="center"/>
    </xf>
    <xf numFmtId="164" fontId="28" fillId="3" borderId="14" xfId="3" applyNumberFormat="1" applyFont="1" applyFill="1" applyBorder="1" applyAlignment="1" applyProtection="1">
      <alignment horizontal="center" vertical="center"/>
    </xf>
    <xf numFmtId="164" fontId="28" fillId="3" borderId="21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9" fontId="25" fillId="0" borderId="0" xfId="0" applyNumberFormat="1" applyFont="1" applyBorder="1" applyAlignment="1">
      <alignment horizontal="center" vertical="center"/>
    </xf>
    <xf numFmtId="9" fontId="25" fillId="0" borderId="6" xfId="0" applyNumberFormat="1" applyFont="1" applyBorder="1" applyAlignment="1">
      <alignment horizontal="center" vertical="center"/>
    </xf>
    <xf numFmtId="167" fontId="25" fillId="0" borderId="0" xfId="0" applyNumberFormat="1" applyFont="1" applyBorder="1" applyAlignment="1">
      <alignment horizontal="center" vertical="center"/>
    </xf>
    <xf numFmtId="167" fontId="25" fillId="0" borderId="14" xfId="0" applyNumberFormat="1" applyFont="1" applyBorder="1" applyAlignment="1">
      <alignment horizontal="center" vertical="center"/>
    </xf>
    <xf numFmtId="167" fontId="25" fillId="0" borderId="21" xfId="0" applyNumberFormat="1" applyFont="1" applyBorder="1" applyAlignment="1">
      <alignment horizontal="center" vertical="center"/>
    </xf>
    <xf numFmtId="167" fontId="25" fillId="0" borderId="6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64" fontId="28" fillId="3" borderId="0" xfId="3" applyNumberFormat="1" applyFont="1" applyFill="1" applyBorder="1" applyAlignment="1" applyProtection="1">
      <alignment horizontal="left"/>
    </xf>
    <xf numFmtId="1" fontId="25" fillId="0" borderId="4" xfId="7" applyNumberFormat="1" applyFont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4" fontId="38" fillId="0" borderId="8" xfId="0" applyNumberFormat="1" applyFont="1" applyBorder="1" applyAlignment="1">
      <alignment horizontal="center" vertical="center"/>
    </xf>
    <xf numFmtId="167" fontId="25" fillId="0" borderId="3" xfId="0" applyNumberFormat="1" applyFont="1" applyBorder="1" applyAlignment="1">
      <alignment horizontal="center" vertical="center"/>
    </xf>
    <xf numFmtId="167" fontId="25" fillId="0" borderId="4" xfId="0" applyNumberFormat="1" applyFont="1" applyBorder="1" applyAlignment="1">
      <alignment horizontal="center" vertical="center"/>
    </xf>
    <xf numFmtId="9" fontId="25" fillId="0" borderId="3" xfId="0" applyNumberFormat="1" applyFont="1" applyBorder="1" applyAlignment="1">
      <alignment horizontal="center" vertical="center"/>
    </xf>
    <xf numFmtId="9" fontId="25" fillId="0" borderId="4" xfId="0" applyNumberFormat="1" applyFont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3" fontId="38" fillId="0" borderId="8" xfId="0" applyNumberFormat="1" applyFont="1" applyFill="1" applyBorder="1" applyAlignment="1">
      <alignment horizontal="center" vertical="center"/>
    </xf>
    <xf numFmtId="3" fontId="25" fillId="0" borderId="8" xfId="0" applyNumberFormat="1" applyFont="1" applyFill="1" applyBorder="1" applyAlignment="1">
      <alignment horizontal="center" vertical="center"/>
    </xf>
    <xf numFmtId="0" fontId="38" fillId="0" borderId="3" xfId="7" applyFont="1" applyBorder="1" applyAlignment="1">
      <alignment horizontal="center" vertical="center"/>
    </xf>
    <xf numFmtId="9" fontId="39" fillId="0" borderId="3" xfId="7" applyNumberFormat="1" applyFont="1" applyBorder="1" applyAlignment="1">
      <alignment horizontal="center" vertical="center"/>
    </xf>
    <xf numFmtId="9" fontId="33" fillId="0" borderId="3" xfId="7" applyNumberFormat="1" applyFont="1" applyBorder="1" applyAlignment="1">
      <alignment horizontal="center" vertical="center"/>
    </xf>
    <xf numFmtId="0" fontId="25" fillId="0" borderId="3" xfId="7" applyFont="1" applyFill="1" applyBorder="1" applyAlignment="1">
      <alignment horizontal="center" vertical="center"/>
    </xf>
    <xf numFmtId="1" fontId="40" fillId="0" borderId="4" xfId="7" applyNumberFormat="1" applyFont="1" applyFill="1" applyBorder="1" applyAlignment="1">
      <alignment horizontal="center" vertical="center"/>
    </xf>
    <xf numFmtId="0" fontId="25" fillId="0" borderId="0" xfId="7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1" xfId="3" applyNumberFormat="1" applyFont="1" applyFill="1" applyBorder="1" applyAlignment="1" applyProtection="1"/>
    <xf numFmtId="0" fontId="3" fillId="3" borderId="0" xfId="3" applyNumberFormat="1" applyFont="1" applyFill="1" applyBorder="1" applyAlignment="1" applyProtection="1">
      <alignment horizontal="center"/>
    </xf>
    <xf numFmtId="164" fontId="4" fillId="3" borderId="0" xfId="8" applyNumberFormat="1" applyFont="1" applyFill="1" applyBorder="1" applyAlignment="1" applyProtection="1">
      <alignment horizontal="right"/>
    </xf>
    <xf numFmtId="164" fontId="4" fillId="3" borderId="3" xfId="8" applyNumberFormat="1" applyFont="1" applyFill="1" applyBorder="1" applyAlignment="1" applyProtection="1">
      <alignment horizontal="right"/>
    </xf>
    <xf numFmtId="0" fontId="7" fillId="0" borderId="3" xfId="7" applyBorder="1"/>
    <xf numFmtId="0" fontId="43" fillId="7" borderId="7" xfId="4" applyNumberFormat="1" applyFont="1" applyFill="1" applyBorder="1" applyAlignment="1" applyProtection="1"/>
    <xf numFmtId="0" fontId="43" fillId="7" borderId="8" xfId="3" applyNumberFormat="1" applyFont="1" applyFill="1" applyBorder="1" applyAlignment="1" applyProtection="1"/>
    <xf numFmtId="0" fontId="9" fillId="3" borderId="7" xfId="4" applyNumberFormat="1" applyFont="1" applyFill="1" applyBorder="1" applyAlignment="1" applyProtection="1"/>
    <xf numFmtId="164" fontId="10" fillId="3" borderId="0" xfId="3" applyNumberFormat="1" applyFont="1" applyFill="1" applyBorder="1" applyAlignment="1" applyProtection="1">
      <alignment horizontal="center"/>
    </xf>
    <xf numFmtId="167" fontId="44" fillId="2" borderId="28" xfId="9" applyNumberFormat="1" applyFont="1" applyFill="1" applyBorder="1" applyAlignment="1" applyProtection="1">
      <alignment horizontal="center"/>
    </xf>
    <xf numFmtId="0" fontId="9" fillId="3" borderId="7" xfId="4" applyNumberFormat="1" applyFont="1" applyFill="1" applyBorder="1" applyAlignment="1" applyProtection="1">
      <alignment horizontal="left"/>
    </xf>
    <xf numFmtId="167" fontId="9" fillId="2" borderId="28" xfId="9" applyNumberFormat="1" applyFont="1" applyFill="1" applyBorder="1" applyAlignment="1" applyProtection="1">
      <alignment horizontal="center"/>
    </xf>
    <xf numFmtId="167" fontId="8" fillId="2" borderId="28" xfId="7" applyNumberFormat="1" applyFont="1" applyFill="1" applyBorder="1" applyAlignment="1">
      <alignment horizontal="center"/>
    </xf>
    <xf numFmtId="0" fontId="9" fillId="3" borderId="7" xfId="4" applyNumberFormat="1" applyFont="1" applyFill="1" applyBorder="1" applyAlignment="1" applyProtection="1">
      <alignment horizontal="left" indent="2"/>
    </xf>
    <xf numFmtId="0" fontId="9" fillId="7" borderId="7" xfId="4" applyNumberFormat="1" applyFont="1" applyFill="1" applyBorder="1" applyAlignment="1" applyProtection="1">
      <alignment horizontal="left"/>
    </xf>
    <xf numFmtId="164" fontId="10" fillId="7" borderId="8" xfId="3" applyNumberFormat="1" applyFont="1" applyFill="1" applyBorder="1" applyAlignment="1" applyProtection="1">
      <alignment horizontal="center"/>
    </xf>
    <xf numFmtId="0" fontId="7" fillId="0" borderId="28" xfId="7" applyBorder="1" applyAlignment="1">
      <alignment horizontal="center"/>
    </xf>
    <xf numFmtId="168" fontId="8" fillId="2" borderId="28" xfId="7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46" fillId="7" borderId="28" xfId="4" applyNumberFormat="1" applyFont="1" applyFill="1" applyBorder="1" applyAlignment="1" applyProtection="1">
      <alignment horizontal="left"/>
    </xf>
    <xf numFmtId="164" fontId="46" fillId="7" borderId="28" xfId="3" applyNumberFormat="1" applyFont="1" applyFill="1" applyBorder="1" applyAlignment="1" applyProtection="1">
      <alignment horizontal="center"/>
    </xf>
    <xf numFmtId="167" fontId="43" fillId="2" borderId="28" xfId="7" applyNumberFormat="1" applyFont="1" applyFill="1" applyBorder="1" applyAlignment="1">
      <alignment horizontal="center"/>
    </xf>
    <xf numFmtId="168" fontId="8" fillId="2" borderId="28" xfId="7" applyNumberFormat="1" applyFont="1" applyFill="1" applyBorder="1" applyAlignment="1">
      <alignment horizontal="center" vertical="center"/>
    </xf>
    <xf numFmtId="167" fontId="8" fillId="2" borderId="28" xfId="7" applyNumberFormat="1" applyFont="1" applyFill="1" applyBorder="1" applyAlignment="1">
      <alignment horizontal="center" vertical="center"/>
    </xf>
    <xf numFmtId="167" fontId="7" fillId="0" borderId="28" xfId="7" applyNumberFormat="1" applyFont="1" applyBorder="1" applyAlignment="1">
      <alignment horizontal="center" vertical="center"/>
    </xf>
    <xf numFmtId="167" fontId="7" fillId="0" borderId="28" xfId="7" applyNumberFormat="1" applyBorder="1" applyAlignment="1">
      <alignment horizontal="center"/>
    </xf>
    <xf numFmtId="167" fontId="8" fillId="0" borderId="28" xfId="7" applyNumberFormat="1" applyFont="1" applyFill="1" applyBorder="1" applyAlignment="1">
      <alignment horizontal="center"/>
    </xf>
    <xf numFmtId="168" fontId="8" fillId="2" borderId="0" xfId="7" applyNumberFormat="1" applyFont="1" applyFill="1" applyBorder="1" applyAlignment="1">
      <alignment horizontal="center"/>
    </xf>
    <xf numFmtId="168" fontId="8" fillId="0" borderId="0" xfId="7" applyNumberFormat="1" applyFont="1" applyFill="1" applyBorder="1" applyAlignment="1">
      <alignment horizontal="center"/>
    </xf>
    <xf numFmtId="170" fontId="8" fillId="2" borderId="0" xfId="7" applyNumberFormat="1" applyFont="1" applyFill="1" applyBorder="1" applyAlignment="1">
      <alignment horizontal="center"/>
    </xf>
    <xf numFmtId="167" fontId="7" fillId="0" borderId="3" xfId="7" applyNumberFormat="1" applyBorder="1" applyAlignment="1">
      <alignment horizontal="center"/>
    </xf>
    <xf numFmtId="0" fontId="9" fillId="0" borderId="7" xfId="4" applyNumberFormat="1" applyFont="1" applyFill="1" applyBorder="1" applyAlignment="1" applyProtection="1"/>
    <xf numFmtId="166" fontId="0" fillId="0" borderId="28" xfId="0" applyNumberFormat="1" applyBorder="1" applyAlignment="1">
      <alignment horizontal="center"/>
    </xf>
    <xf numFmtId="0" fontId="9" fillId="0" borderId="11" xfId="4" applyNumberFormat="1" applyFont="1" applyFill="1" applyBorder="1" applyAlignment="1" applyProtection="1"/>
    <xf numFmtId="0" fontId="9" fillId="0" borderId="28" xfId="4" applyNumberFormat="1" applyFont="1" applyFill="1" applyBorder="1" applyAlignment="1" applyProtection="1"/>
    <xf numFmtId="0" fontId="9" fillId="0" borderId="1" xfId="4" applyNumberFormat="1" applyFont="1" applyFill="1" applyBorder="1" applyAlignment="1" applyProtection="1"/>
    <xf numFmtId="167" fontId="8" fillId="2" borderId="0" xfId="7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42" fillId="0" borderId="1" xfId="1" applyFont="1" applyFill="1" applyBorder="1" applyAlignment="1">
      <alignment horizontal="left"/>
    </xf>
    <xf numFmtId="0" fontId="42" fillId="0" borderId="0" xfId="1" applyFont="1" applyFill="1" applyBorder="1" applyAlignment="1">
      <alignment horizontal="center"/>
    </xf>
    <xf numFmtId="0" fontId="10" fillId="3" borderId="0" xfId="3" applyNumberFormat="1" applyFont="1" applyFill="1" applyBorder="1" applyAlignment="1" applyProtection="1">
      <alignment horizontal="center"/>
    </xf>
    <xf numFmtId="165" fontId="8" fillId="0" borderId="28" xfId="7" applyNumberFormat="1" applyFont="1" applyFill="1" applyBorder="1" applyAlignment="1">
      <alignment horizontal="center"/>
    </xf>
    <xf numFmtId="166" fontId="8" fillId="0" borderId="28" xfId="7" applyNumberFormat="1" applyFont="1" applyFill="1" applyBorder="1" applyAlignment="1">
      <alignment horizontal="center"/>
    </xf>
    <xf numFmtId="0" fontId="43" fillId="7" borderId="0" xfId="3" applyNumberFormat="1" applyFont="1" applyFill="1" applyBorder="1" applyAlignment="1" applyProtection="1"/>
    <xf numFmtId="165" fontId="8" fillId="2" borderId="28" xfId="7" applyNumberFormat="1" applyFont="1" applyFill="1" applyBorder="1" applyAlignment="1">
      <alignment horizontal="center"/>
    </xf>
    <xf numFmtId="166" fontId="8" fillId="2" borderId="28" xfId="7" applyNumberFormat="1" applyFont="1" applyFill="1" applyBorder="1" applyAlignment="1">
      <alignment horizontal="center"/>
    </xf>
    <xf numFmtId="0" fontId="9" fillId="7" borderId="28" xfId="4" applyNumberFormat="1" applyFont="1" applyFill="1" applyBorder="1" applyAlignment="1" applyProtection="1"/>
    <xf numFmtId="0" fontId="10" fillId="7" borderId="15" xfId="3" applyNumberFormat="1" applyFont="1" applyFill="1" applyBorder="1" applyAlignment="1" applyProtection="1">
      <alignment horizontal="center"/>
    </xf>
    <xf numFmtId="4" fontId="8" fillId="0" borderId="28" xfId="7" applyNumberFormat="1" applyFont="1" applyFill="1" applyBorder="1" applyAlignment="1">
      <alignment horizontal="center" vertical="center"/>
    </xf>
    <xf numFmtId="167" fontId="8" fillId="0" borderId="28" xfId="7" applyNumberFormat="1" applyFont="1" applyFill="1" applyBorder="1" applyAlignment="1">
      <alignment horizontal="center" vertical="center"/>
    </xf>
    <xf numFmtId="167" fontId="7" fillId="2" borderId="28" xfId="7" applyNumberFormat="1" applyFont="1" applyFill="1" applyBorder="1" applyAlignment="1">
      <alignment horizontal="center" vertical="center"/>
    </xf>
    <xf numFmtId="166" fontId="8" fillId="0" borderId="31" xfId="7" applyNumberFormat="1" applyFont="1" applyFill="1" applyBorder="1" applyAlignment="1">
      <alignment horizontal="center"/>
    </xf>
    <xf numFmtId="166" fontId="8" fillId="2" borderId="31" xfId="7" applyNumberFormat="1" applyFont="1" applyFill="1" applyBorder="1" applyAlignment="1">
      <alignment horizontal="center"/>
    </xf>
    <xf numFmtId="166" fontId="7" fillId="0" borderId="31" xfId="7" applyNumberFormat="1" applyBorder="1" applyAlignment="1">
      <alignment horizontal="center"/>
    </xf>
    <xf numFmtId="165" fontId="7" fillId="0" borderId="28" xfId="7" applyNumberFormat="1" applyBorder="1" applyAlignment="1">
      <alignment horizontal="center"/>
    </xf>
    <xf numFmtId="1" fontId="8" fillId="2" borderId="28" xfId="7" applyNumberFormat="1" applyFont="1" applyFill="1" applyBorder="1"/>
    <xf numFmtId="0" fontId="7" fillId="0" borderId="28" xfId="7" applyBorder="1"/>
    <xf numFmtId="0" fontId="10" fillId="7" borderId="0" xfId="3" applyNumberFormat="1" applyFont="1" applyFill="1" applyBorder="1" applyAlignment="1" applyProtection="1">
      <alignment horizontal="center"/>
    </xf>
    <xf numFmtId="167" fontId="41" fillId="2" borderId="28" xfId="7" applyNumberFormat="1" applyFont="1" applyFill="1" applyBorder="1" applyAlignment="1">
      <alignment horizontal="center" vertical="center"/>
    </xf>
    <xf numFmtId="171" fontId="8" fillId="0" borderId="28" xfId="7" applyNumberFormat="1" applyFont="1" applyFill="1" applyBorder="1" applyAlignment="1">
      <alignment horizontal="center"/>
    </xf>
    <xf numFmtId="172" fontId="8" fillId="0" borderId="28" xfId="7" applyNumberFormat="1" applyFont="1" applyFill="1" applyBorder="1" applyAlignment="1">
      <alignment horizontal="center"/>
    </xf>
    <xf numFmtId="172" fontId="7" fillId="0" borderId="28" xfId="7" applyNumberFormat="1" applyBorder="1" applyAlignment="1">
      <alignment horizontal="center"/>
    </xf>
    <xf numFmtId="171" fontId="8" fillId="2" borderId="28" xfId="7" applyNumberFormat="1" applyFont="1" applyFill="1" applyBorder="1" applyAlignment="1">
      <alignment horizontal="center"/>
    </xf>
    <xf numFmtId="171" fontId="7" fillId="0" borderId="28" xfId="7" applyNumberFormat="1" applyBorder="1" applyAlignment="1">
      <alignment horizontal="center"/>
    </xf>
    <xf numFmtId="167" fontId="46" fillId="0" borderId="28" xfId="1" applyNumberFormat="1" applyFont="1" applyFill="1" applyBorder="1" applyAlignment="1">
      <alignment horizontal="center"/>
    </xf>
    <xf numFmtId="0" fontId="46" fillId="0" borderId="28" xfId="1" applyFont="1" applyFill="1" applyBorder="1" applyAlignment="1">
      <alignment horizontal="center"/>
    </xf>
    <xf numFmtId="0" fontId="0" fillId="0" borderId="28" xfId="0" applyBorder="1"/>
    <xf numFmtId="0" fontId="7" fillId="0" borderId="28" xfId="7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8" fontId="46" fillId="0" borderId="28" xfId="1" applyNumberFormat="1" applyFont="1" applyFill="1" applyBorder="1" applyAlignment="1">
      <alignment horizontal="center"/>
    </xf>
    <xf numFmtId="173" fontId="46" fillId="0" borderId="28" xfId="1" applyNumberFormat="1" applyFont="1" applyFill="1" applyBorder="1" applyAlignment="1">
      <alignment horizontal="center"/>
    </xf>
    <xf numFmtId="168" fontId="41" fillId="0" borderId="28" xfId="7" applyNumberFormat="1" applyFont="1" applyFill="1" applyBorder="1" applyAlignment="1">
      <alignment horizontal="center"/>
    </xf>
    <xf numFmtId="173" fontId="41" fillId="0" borderId="28" xfId="7" applyNumberFormat="1" applyFont="1" applyFill="1" applyBorder="1" applyAlignment="1">
      <alignment horizontal="center"/>
    </xf>
    <xf numFmtId="168" fontId="41" fillId="0" borderId="28" xfId="7" applyNumberFormat="1" applyFont="1" applyBorder="1" applyAlignment="1">
      <alignment horizontal="center"/>
    </xf>
    <xf numFmtId="174" fontId="41" fillId="0" borderId="28" xfId="7" applyNumberFormat="1" applyFont="1" applyFill="1" applyBorder="1" applyAlignment="1">
      <alignment horizontal="center"/>
    </xf>
    <xf numFmtId="167" fontId="46" fillId="2" borderId="28" xfId="7" applyNumberFormat="1" applyFont="1" applyFill="1" applyBorder="1" applyAlignment="1">
      <alignment horizontal="center"/>
    </xf>
    <xf numFmtId="166" fontId="7" fillId="0" borderId="28" xfId="7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4" fontId="46" fillId="2" borderId="28" xfId="7" applyNumberFormat="1" applyFont="1" applyFill="1" applyBorder="1" applyAlignment="1">
      <alignment horizontal="center"/>
    </xf>
    <xf numFmtId="167" fontId="8" fillId="0" borderId="28" xfId="0" applyNumberFormat="1" applyFont="1" applyBorder="1" applyAlignment="1">
      <alignment horizontal="center"/>
    </xf>
    <xf numFmtId="0" fontId="10" fillId="7" borderId="8" xfId="3" applyNumberFormat="1" applyFont="1" applyFill="1" applyBorder="1" applyAlignment="1" applyProtection="1">
      <alignment horizontal="center"/>
    </xf>
    <xf numFmtId="165" fontId="0" fillId="0" borderId="0" xfId="0" applyNumberFormat="1"/>
    <xf numFmtId="0" fontId="46" fillId="0" borderId="28" xfId="0" applyFont="1" applyBorder="1" applyAlignment="1">
      <alignment horizontal="center" wrapText="1" readingOrder="1"/>
    </xf>
    <xf numFmtId="164" fontId="46" fillId="0" borderId="28" xfId="1" applyNumberFormat="1" applyFont="1" applyFill="1" applyBorder="1" applyAlignment="1">
      <alignment horizontal="center"/>
    </xf>
    <xf numFmtId="0" fontId="10" fillId="3" borderId="6" xfId="3" applyNumberFormat="1" applyFont="1" applyFill="1" applyBorder="1" applyAlignment="1" applyProtection="1">
      <alignment horizontal="center"/>
    </xf>
    <xf numFmtId="0" fontId="9" fillId="3" borderId="1" xfId="4" applyNumberFormat="1" applyFont="1" applyFill="1" applyBorder="1" applyAlignment="1" applyProtection="1">
      <alignment horizontal="left"/>
    </xf>
    <xf numFmtId="4" fontId="46" fillId="2" borderId="0" xfId="7" applyNumberFormat="1" applyFont="1" applyFill="1" applyBorder="1" applyAlignment="1">
      <alignment horizontal="center"/>
    </xf>
    <xf numFmtId="4" fontId="46" fillId="2" borderId="19" xfId="7" applyNumberFormat="1" applyFont="1" applyFill="1" applyBorder="1" applyAlignment="1">
      <alignment horizontal="center"/>
    </xf>
    <xf numFmtId="4" fontId="46" fillId="2" borderId="29" xfId="7" applyNumberFormat="1" applyFont="1" applyFill="1" applyBorder="1" applyAlignment="1">
      <alignment horizontal="center"/>
    </xf>
    <xf numFmtId="0" fontId="7" fillId="0" borderId="29" xfId="7" applyBorder="1" applyAlignment="1">
      <alignment horizontal="center"/>
    </xf>
    <xf numFmtId="0" fontId="49" fillId="0" borderId="28" xfId="0" applyFont="1" applyBorder="1"/>
    <xf numFmtId="0" fontId="9" fillId="3" borderId="32" xfId="4" applyNumberFormat="1" applyFont="1" applyFill="1" applyBorder="1" applyAlignment="1" applyProtection="1">
      <alignment horizontal="left"/>
    </xf>
    <xf numFmtId="3" fontId="47" fillId="0" borderId="28" xfId="1" applyNumberFormat="1" applyFont="1" applyFill="1" applyBorder="1" applyAlignment="1">
      <alignment horizontal="center"/>
    </xf>
    <xf numFmtId="3" fontId="46" fillId="0" borderId="28" xfId="1" applyNumberFormat="1" applyFont="1" applyFill="1" applyBorder="1" applyAlignment="1">
      <alignment horizontal="center"/>
    </xf>
    <xf numFmtId="0" fontId="9" fillId="3" borderId="32" xfId="4" applyNumberFormat="1" applyFont="1" applyFill="1" applyBorder="1" applyAlignment="1" applyProtection="1">
      <alignment horizontal="left" wrapText="1"/>
    </xf>
    <xf numFmtId="0" fontId="10" fillId="0" borderId="33" xfId="3" applyNumberFormat="1" applyFont="1" applyFill="1" applyBorder="1" applyAlignment="1" applyProtection="1"/>
    <xf numFmtId="165" fontId="46" fillId="0" borderId="28" xfId="1" applyNumberFormat="1" applyFont="1" applyFill="1" applyBorder="1" applyAlignment="1">
      <alignment horizontal="center"/>
    </xf>
    <xf numFmtId="1" fontId="46" fillId="0" borderId="28" xfId="1" applyNumberFormat="1" applyFont="1" applyFill="1" applyBorder="1" applyAlignment="1">
      <alignment horizontal="center"/>
    </xf>
    <xf numFmtId="0" fontId="10" fillId="0" borderId="32" xfId="3" applyNumberFormat="1" applyFont="1" applyFill="1" applyBorder="1" applyAlignment="1" applyProtection="1">
      <alignment wrapText="1"/>
    </xf>
    <xf numFmtId="3" fontId="8" fillId="2" borderId="28" xfId="7" applyNumberFormat="1" applyFont="1" applyFill="1" applyBorder="1" applyAlignment="1">
      <alignment horizontal="center" vertical="center"/>
    </xf>
    <xf numFmtId="3" fontId="50" fillId="0" borderId="28" xfId="7" applyNumberFormat="1" applyFont="1" applyBorder="1" applyAlignment="1">
      <alignment horizontal="center" vertical="center"/>
    </xf>
    <xf numFmtId="0" fontId="10" fillId="7" borderId="33" xfId="3" applyNumberFormat="1" applyFont="1" applyFill="1" applyBorder="1" applyAlignment="1" applyProtection="1"/>
    <xf numFmtId="3" fontId="50" fillId="0" borderId="28" xfId="7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3" fontId="7" fillId="0" borderId="28" xfId="7" applyNumberFormat="1" applyBorder="1" applyAlignment="1">
      <alignment horizontal="center"/>
    </xf>
    <xf numFmtId="3" fontId="46" fillId="2" borderId="28" xfId="1" applyNumberFormat="1" applyFont="1" applyFill="1" applyBorder="1" applyAlignment="1">
      <alignment horizontal="center"/>
    </xf>
    <xf numFmtId="0" fontId="46" fillId="0" borderId="28" xfId="1" applyFont="1" applyFill="1" applyBorder="1" applyAlignment="1">
      <alignment horizontal="center" vertical="center"/>
    </xf>
    <xf numFmtId="0" fontId="10" fillId="7" borderId="7" xfId="3" applyNumberFormat="1" applyFont="1" applyFill="1" applyBorder="1" applyAlignment="1" applyProtection="1"/>
    <xf numFmtId="0" fontId="10" fillId="7" borderId="14" xfId="3" applyNumberFormat="1" applyFont="1" applyFill="1" applyBorder="1" applyAlignment="1" applyProtection="1">
      <alignment horizontal="center"/>
    </xf>
    <xf numFmtId="3" fontId="7" fillId="2" borderId="28" xfId="7" applyNumberFormat="1" applyFill="1" applyBorder="1" applyAlignment="1">
      <alignment horizontal="center"/>
    </xf>
    <xf numFmtId="0" fontId="50" fillId="0" borderId="28" xfId="7" applyFont="1" applyBorder="1" applyAlignment="1">
      <alignment horizontal="center"/>
    </xf>
    <xf numFmtId="3" fontId="46" fillId="2" borderId="28" xfId="1" applyNumberFormat="1" applyFont="1" applyFill="1" applyBorder="1" applyAlignment="1">
      <alignment horizontal="center" vertical="center"/>
    </xf>
    <xf numFmtId="3" fontId="46" fillId="0" borderId="28" xfId="1" applyNumberFormat="1" applyFont="1" applyFill="1" applyBorder="1" applyAlignment="1">
      <alignment horizontal="center" vertical="center"/>
    </xf>
    <xf numFmtId="3" fontId="46" fillId="2" borderId="28" xfId="7" applyNumberFormat="1" applyFont="1" applyFill="1" applyBorder="1" applyAlignment="1">
      <alignment horizontal="center" vertical="center"/>
    </xf>
    <xf numFmtId="0" fontId="43" fillId="7" borderId="9" xfId="3" applyNumberFormat="1" applyFont="1" applyFill="1" applyBorder="1" applyAlignment="1" applyProtection="1"/>
    <xf numFmtId="3" fontId="43" fillId="2" borderId="28" xfId="7" applyNumberFormat="1" applyFont="1" applyFill="1" applyBorder="1" applyAlignment="1">
      <alignment horizontal="center"/>
    </xf>
    <xf numFmtId="3" fontId="8" fillId="2" borderId="28" xfId="7" applyNumberFormat="1" applyFont="1" applyFill="1" applyBorder="1" applyAlignment="1">
      <alignment horizontal="center"/>
    </xf>
    <xf numFmtId="3" fontId="8" fillId="0" borderId="28" xfId="7" applyNumberFormat="1" applyFont="1" applyFill="1" applyBorder="1" applyAlignment="1">
      <alignment horizontal="center"/>
    </xf>
    <xf numFmtId="0" fontId="10" fillId="0" borderId="34" xfId="3" applyNumberFormat="1" applyFont="1" applyFill="1" applyBorder="1" applyAlignment="1" applyProtection="1">
      <alignment wrapText="1"/>
    </xf>
    <xf numFmtId="0" fontId="10" fillId="0" borderId="35" xfId="3" applyNumberFormat="1" applyFont="1" applyFill="1" applyBorder="1" applyAlignment="1" applyProtection="1">
      <alignment horizontal="center"/>
    </xf>
    <xf numFmtId="0" fontId="51" fillId="0" borderId="0" xfId="3" applyNumberFormat="1" applyFont="1" applyFill="1" applyBorder="1" applyAlignment="1" applyProtection="1">
      <alignment wrapText="1"/>
    </xf>
    <xf numFmtId="1" fontId="52" fillId="0" borderId="0" xfId="7" applyNumberFormat="1" applyFont="1"/>
    <xf numFmtId="0" fontId="46" fillId="0" borderId="0" xfId="4" applyNumberFormat="1" applyFont="1" applyFill="1" applyBorder="1" applyAlignment="1" applyProtection="1">
      <alignment horizontal="left"/>
    </xf>
    <xf numFmtId="0" fontId="46" fillId="0" borderId="0" xfId="3" applyNumberFormat="1" applyFont="1" applyFill="1" applyBorder="1" applyAlignment="1" applyProtection="1">
      <alignment horizontal="center"/>
    </xf>
    <xf numFmtId="164" fontId="46" fillId="0" borderId="0" xfId="7" applyNumberFormat="1" applyFont="1" applyFill="1" applyBorder="1" applyAlignment="1">
      <alignment horizontal="right"/>
    </xf>
    <xf numFmtId="164" fontId="46" fillId="0" borderId="0" xfId="7" applyNumberFormat="1" applyFont="1" applyFill="1" applyBorder="1"/>
    <xf numFmtId="0" fontId="7" fillId="0" borderId="0" xfId="7"/>
    <xf numFmtId="0" fontId="55" fillId="5" borderId="0" xfId="1" applyFont="1" applyFill="1" applyBorder="1" applyAlignment="1">
      <alignment horizontal="left"/>
    </xf>
    <xf numFmtId="0" fontId="55" fillId="5" borderId="0" xfId="1" applyFont="1" applyFill="1" applyBorder="1" applyAlignment="1">
      <alignment horizontal="center"/>
    </xf>
    <xf numFmtId="0" fontId="55" fillId="0" borderId="0" xfId="1" applyFont="1" applyFill="1" applyBorder="1" applyAlignment="1">
      <alignment horizontal="left"/>
    </xf>
    <xf numFmtId="0" fontId="55" fillId="0" borderId="0" xfId="1" applyFont="1" applyFill="1" applyBorder="1" applyAlignment="1">
      <alignment horizontal="center"/>
    </xf>
    <xf numFmtId="0" fontId="0" fillId="0" borderId="0" xfId="0" applyFill="1"/>
    <xf numFmtId="0" fontId="56" fillId="5" borderId="0" xfId="1" applyFont="1" applyFill="1" applyBorder="1"/>
    <xf numFmtId="0" fontId="58" fillId="2" borderId="0" xfId="1" applyFont="1" applyFill="1"/>
    <xf numFmtId="0" fontId="59" fillId="2" borderId="0" xfId="1" applyFont="1" applyFill="1"/>
    <xf numFmtId="0" fontId="0" fillId="0" borderId="0" xfId="0" applyAlignment="1">
      <alignment wrapText="1"/>
    </xf>
    <xf numFmtId="164" fontId="28" fillId="3" borderId="0" xfId="3" applyNumberFormat="1" applyFont="1" applyFill="1" applyBorder="1" applyAlignment="1" applyProtection="1">
      <alignment horizontal="left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172" fontId="0" fillId="0" borderId="28" xfId="0" applyNumberFormat="1" applyBorder="1"/>
    <xf numFmtId="166" fontId="57" fillId="0" borderId="28" xfId="0" applyNumberFormat="1" applyFont="1" applyBorder="1" applyAlignment="1">
      <alignment horizontal="center"/>
    </xf>
    <xf numFmtId="166" fontId="57" fillId="0" borderId="28" xfId="0" applyNumberFormat="1" applyFont="1" applyFill="1" applyBorder="1" applyAlignment="1">
      <alignment horizontal="center"/>
    </xf>
    <xf numFmtId="166" fontId="0" fillId="0" borderId="28" xfId="0" applyNumberFormat="1" applyBorder="1" applyAlignment="1">
      <alignment horizontal="center" vertical="center"/>
    </xf>
    <xf numFmtId="0" fontId="0" fillId="0" borderId="28" xfId="0" applyFill="1" applyBorder="1"/>
    <xf numFmtId="169" fontId="0" fillId="0" borderId="28" xfId="0" applyNumberFormat="1" applyBorder="1" applyAlignment="1">
      <alignment horizontal="center" vertical="center"/>
    </xf>
    <xf numFmtId="175" fontId="0" fillId="0" borderId="28" xfId="0" applyNumberFormat="1" applyBorder="1" applyAlignment="1">
      <alignment horizontal="center" vertical="center"/>
    </xf>
    <xf numFmtId="166" fontId="7" fillId="0" borderId="28" xfId="7" applyNumberFormat="1" applyFill="1" applyBorder="1" applyAlignment="1">
      <alignment horizontal="center"/>
    </xf>
    <xf numFmtId="166" fontId="57" fillId="0" borderId="28" xfId="0" applyNumberFormat="1" applyFont="1" applyFill="1" applyBorder="1"/>
    <xf numFmtId="166" fontId="57" fillId="0" borderId="28" xfId="0" applyNumberFormat="1" applyFont="1" applyBorder="1"/>
    <xf numFmtId="1" fontId="0" fillId="0" borderId="28" xfId="0" applyNumberFormat="1" applyFill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164" fontId="25" fillId="0" borderId="3" xfId="0" applyNumberFormat="1" applyFont="1" applyFill="1" applyBorder="1" applyAlignment="1">
      <alignment horizontal="center" vertical="center"/>
    </xf>
    <xf numFmtId="164" fontId="25" fillId="0" borderId="4" xfId="0" applyNumberFormat="1" applyFont="1" applyFill="1" applyBorder="1" applyAlignment="1">
      <alignment horizontal="center" vertical="center"/>
    </xf>
    <xf numFmtId="164" fontId="28" fillId="3" borderId="0" xfId="3" applyNumberFormat="1" applyFont="1" applyFill="1" applyBorder="1" applyAlignment="1" applyProtection="1">
      <alignment horizontal="center" vertical="center"/>
    </xf>
    <xf numFmtId="164" fontId="38" fillId="2" borderId="8" xfId="0" applyNumberFormat="1" applyFont="1" applyFill="1" applyBorder="1" applyAlignment="1">
      <alignment horizontal="center" vertical="center"/>
    </xf>
    <xf numFmtId="164" fontId="38" fillId="2" borderId="10" xfId="0" applyNumberFormat="1" applyFont="1" applyFill="1" applyBorder="1" applyAlignment="1">
      <alignment horizontal="center" vertical="center"/>
    </xf>
    <xf numFmtId="1" fontId="25" fillId="2" borderId="8" xfId="0" applyNumberFormat="1" applyFont="1" applyFill="1" applyBorder="1" applyAlignment="1">
      <alignment horizontal="center" vertical="center"/>
    </xf>
    <xf numFmtId="1" fontId="25" fillId="2" borderId="1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1" fontId="25" fillId="0" borderId="6" xfId="0" applyNumberFormat="1" applyFont="1" applyFill="1" applyBorder="1" applyAlignment="1">
      <alignment horizontal="center" vertical="center"/>
    </xf>
    <xf numFmtId="164" fontId="25" fillId="0" borderId="8" xfId="0" applyNumberFormat="1" applyFont="1" applyFill="1" applyBorder="1" applyAlignment="1">
      <alignment horizontal="center" vertical="center"/>
    </xf>
    <xf numFmtId="0" fontId="61" fillId="0" borderId="8" xfId="0" applyFont="1" applyFill="1" applyBorder="1" applyAlignment="1">
      <alignment horizontal="center" vertical="center"/>
    </xf>
    <xf numFmtId="3" fontId="61" fillId="0" borderId="8" xfId="0" applyNumberFormat="1" applyFont="1" applyFill="1" applyBorder="1" applyAlignment="1">
      <alignment horizontal="center" vertical="center"/>
    </xf>
    <xf numFmtId="1" fontId="61" fillId="2" borderId="8" xfId="0" applyNumberFormat="1" applyFont="1" applyFill="1" applyBorder="1" applyAlignment="1">
      <alignment horizontal="center" vertical="center"/>
    </xf>
    <xf numFmtId="0" fontId="62" fillId="2" borderId="8" xfId="0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0" fontId="8" fillId="0" borderId="0" xfId="7" applyFont="1" applyBorder="1"/>
    <xf numFmtId="9" fontId="25" fillId="2" borderId="3" xfId="7" applyNumberFormat="1" applyFont="1" applyFill="1" applyBorder="1" applyAlignment="1">
      <alignment horizontal="center" vertical="center"/>
    </xf>
    <xf numFmtId="9" fontId="25" fillId="2" borderId="4" xfId="7" applyNumberFormat="1" applyFont="1" applyFill="1" applyBorder="1" applyAlignment="1">
      <alignment horizontal="center" vertical="center"/>
    </xf>
    <xf numFmtId="166" fontId="8" fillId="0" borderId="0" xfId="0" applyNumberFormat="1" applyFont="1"/>
    <xf numFmtId="0" fontId="25" fillId="0" borderId="9" xfId="0" applyFont="1" applyBorder="1" applyAlignment="1">
      <alignment horizontal="center" vertical="center"/>
    </xf>
    <xf numFmtId="167" fontId="37" fillId="0" borderId="28" xfId="7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28" xfId="0" applyNumberFormat="1" applyFill="1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7" fontId="0" fillId="0" borderId="28" xfId="0" applyNumberFormat="1" applyBorder="1" applyAlignment="1">
      <alignment horizontal="center" vertical="center"/>
    </xf>
    <xf numFmtId="167" fontId="8" fillId="2" borderId="31" xfId="7" applyNumberFormat="1" applyFont="1" applyFill="1" applyBorder="1" applyAlignment="1">
      <alignment horizontal="center"/>
    </xf>
    <xf numFmtId="0" fontId="60" fillId="4" borderId="15" xfId="6" applyFont="1" applyFill="1" applyBorder="1" applyAlignment="1">
      <alignment horizontal="left" vertical="center"/>
    </xf>
    <xf numFmtId="0" fontId="60" fillId="4" borderId="5" xfId="6" applyFont="1" applyFill="1" applyBorder="1" applyAlignment="1">
      <alignment horizontal="left" vertical="center"/>
    </xf>
    <xf numFmtId="0" fontId="60" fillId="4" borderId="13" xfId="6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3" fillId="7" borderId="14" xfId="3" applyNumberFormat="1" applyFont="1" applyFill="1" applyBorder="1" applyAlignment="1" applyProtection="1">
      <alignment horizontal="center"/>
    </xf>
    <xf numFmtId="0" fontId="43" fillId="7" borderId="0" xfId="3" applyNumberFormat="1" applyFont="1" applyFill="1" applyBorder="1" applyAlignment="1" applyProtection="1">
      <alignment horizontal="center"/>
    </xf>
    <xf numFmtId="0" fontId="0" fillId="0" borderId="0" xfId="0" applyAlignment="1"/>
    <xf numFmtId="0" fontId="43" fillId="7" borderId="30" xfId="3" applyNumberFormat="1" applyFont="1" applyFill="1" applyBorder="1" applyAlignment="1" applyProtection="1">
      <alignment horizontal="center"/>
    </xf>
    <xf numFmtId="0" fontId="43" fillId="7" borderId="5" xfId="3" applyNumberFormat="1" applyFont="1" applyFill="1" applyBorder="1" applyAlignment="1" applyProtection="1">
      <alignment horizontal="center"/>
    </xf>
    <xf numFmtId="0" fontId="0" fillId="0" borderId="5" xfId="0" applyBorder="1" applyAlignment="1"/>
    <xf numFmtId="164" fontId="47" fillId="7" borderId="30" xfId="7" applyNumberFormat="1" applyFont="1" applyFill="1" applyBorder="1" applyAlignment="1">
      <alignment horizontal="center"/>
    </xf>
    <xf numFmtId="164" fontId="47" fillId="7" borderId="5" xfId="7" applyNumberFormat="1" applyFont="1" applyFill="1" applyBorder="1" applyAlignment="1">
      <alignment horizontal="center"/>
    </xf>
    <xf numFmtId="164" fontId="47" fillId="7" borderId="15" xfId="7" applyNumberFormat="1" applyFont="1" applyFill="1" applyBorder="1" applyAlignment="1">
      <alignment horizontal="center"/>
    </xf>
    <xf numFmtId="0" fontId="56" fillId="5" borderId="19" xfId="1" applyFont="1" applyFill="1" applyBorder="1" applyAlignment="1">
      <alignment horizontal="center"/>
    </xf>
    <xf numFmtId="0" fontId="57" fillId="0" borderId="19" xfId="0" applyFont="1" applyBorder="1" applyAlignment="1">
      <alignment horizontal="center"/>
    </xf>
    <xf numFmtId="0" fontId="0" fillId="0" borderId="19" xfId="0" applyBorder="1" applyAlignment="1"/>
    <xf numFmtId="0" fontId="56" fillId="5" borderId="6" xfId="1" applyFont="1" applyFill="1" applyBorder="1" applyAlignment="1">
      <alignment horizontal="center"/>
    </xf>
    <xf numFmtId="0" fontId="57" fillId="0" borderId="6" xfId="0" applyFont="1" applyBorder="1" applyAlignment="1">
      <alignment horizontal="center"/>
    </xf>
    <xf numFmtId="0" fontId="0" fillId="0" borderId="6" xfId="0" applyBorder="1" applyAlignment="1"/>
    <xf numFmtId="0" fontId="43" fillId="7" borderId="18" xfId="3" applyNumberFormat="1" applyFont="1" applyFill="1" applyBorder="1" applyAlignment="1" applyProtection="1">
      <alignment horizontal="center"/>
    </xf>
    <xf numFmtId="0" fontId="43" fillId="7" borderId="19" xfId="3" applyNumberFormat="1" applyFont="1" applyFill="1" applyBorder="1" applyAlignment="1" applyProtection="1">
      <alignment horizontal="center"/>
    </xf>
    <xf numFmtId="0" fontId="56" fillId="5" borderId="5" xfId="1" applyFont="1" applyFill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6" fillId="5" borderId="0" xfId="1" applyFont="1" applyFill="1" applyBorder="1" applyAlignment="1">
      <alignment horizontal="center"/>
    </xf>
    <xf numFmtId="0" fontId="57" fillId="0" borderId="0" xfId="0" applyFont="1" applyBorder="1" applyAlignment="1">
      <alignment horizontal="center"/>
    </xf>
    <xf numFmtId="164" fontId="47" fillId="7" borderId="1" xfId="7" applyNumberFormat="1" applyFont="1" applyFill="1" applyBorder="1" applyAlignment="1">
      <alignment horizontal="center"/>
    </xf>
    <xf numFmtId="164" fontId="47" fillId="7" borderId="0" xfId="7" applyNumberFormat="1" applyFont="1" applyFill="1" applyBorder="1" applyAlignment="1">
      <alignment horizontal="center"/>
    </xf>
    <xf numFmtId="0" fontId="43" fillId="7" borderId="21" xfId="3" applyNumberFormat="1" applyFont="1" applyFill="1" applyBorder="1" applyAlignment="1" applyProtection="1">
      <alignment horizontal="center"/>
    </xf>
    <xf numFmtId="0" fontId="43" fillId="7" borderId="6" xfId="3" applyNumberFormat="1" applyFont="1" applyFill="1" applyBorder="1" applyAlignment="1" applyProtection="1">
      <alignment horizontal="center"/>
    </xf>
    <xf numFmtId="2" fontId="25" fillId="0" borderId="0" xfId="0" applyNumberFormat="1" applyFont="1" applyBorder="1" applyAlignment="1">
      <alignment horizontal="center" vertical="center"/>
    </xf>
    <xf numFmtId="2" fontId="25" fillId="0" borderId="6" xfId="0" applyNumberFormat="1" applyFont="1" applyBorder="1" applyAlignment="1">
      <alignment horizontal="center" vertical="center"/>
    </xf>
    <xf numFmtId="0" fontId="26" fillId="3" borderId="16" xfId="4" applyNumberFormat="1" applyFont="1" applyFill="1" applyBorder="1" applyAlignment="1" applyProtection="1">
      <alignment horizontal="left" vertical="top" wrapText="1"/>
    </xf>
    <xf numFmtId="0" fontId="26" fillId="3" borderId="7" xfId="4" applyNumberFormat="1" applyFont="1" applyFill="1" applyBorder="1" applyAlignment="1" applyProtection="1">
      <alignment horizontal="left" vertical="top" wrapText="1"/>
    </xf>
    <xf numFmtId="0" fontId="26" fillId="3" borderId="11" xfId="4" applyNumberFormat="1" applyFont="1" applyFill="1" applyBorder="1" applyAlignment="1" applyProtection="1">
      <alignment horizontal="left" vertical="top" wrapText="1"/>
    </xf>
    <xf numFmtId="0" fontId="25" fillId="0" borderId="1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2" fontId="25" fillId="0" borderId="14" xfId="0" applyNumberFormat="1" applyFont="1" applyBorder="1" applyAlignment="1">
      <alignment horizontal="center" vertical="center"/>
    </xf>
    <xf numFmtId="2" fontId="25" fillId="0" borderId="21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6" fillId="3" borderId="27" xfId="4" applyNumberFormat="1" applyFont="1" applyFill="1" applyBorder="1" applyAlignment="1" applyProtection="1">
      <alignment horizontal="left" wrapText="1"/>
    </xf>
    <xf numFmtId="0" fontId="26" fillId="3" borderId="17" xfId="4" applyNumberFormat="1" applyFont="1" applyFill="1" applyBorder="1" applyAlignment="1" applyProtection="1">
      <alignment horizontal="left" wrapText="1"/>
    </xf>
    <xf numFmtId="0" fontId="26" fillId="3" borderId="1" xfId="4" applyNumberFormat="1" applyFont="1" applyFill="1" applyBorder="1" applyAlignment="1" applyProtection="1">
      <alignment horizontal="left" wrapText="1"/>
    </xf>
    <xf numFmtId="0" fontId="26" fillId="3" borderId="8" xfId="4" applyNumberFormat="1" applyFont="1" applyFill="1" applyBorder="1" applyAlignment="1" applyProtection="1">
      <alignment horizontal="left" wrapText="1"/>
    </xf>
    <xf numFmtId="0" fontId="26" fillId="3" borderId="1" xfId="4" applyNumberFormat="1" applyFont="1" applyFill="1" applyBorder="1" applyAlignment="1" applyProtection="1">
      <alignment horizontal="left" vertical="top" wrapText="1"/>
    </xf>
    <xf numFmtId="0" fontId="26" fillId="3" borderId="8" xfId="4" applyNumberFormat="1" applyFont="1" applyFill="1" applyBorder="1" applyAlignment="1" applyProtection="1">
      <alignment horizontal="left" vertical="top" wrapText="1"/>
    </xf>
    <xf numFmtId="164" fontId="28" fillId="3" borderId="0" xfId="3" applyNumberFormat="1" applyFont="1" applyFill="1" applyBorder="1" applyAlignment="1" applyProtection="1">
      <alignment horizontal="left"/>
    </xf>
    <xf numFmtId="164" fontId="28" fillId="3" borderId="8" xfId="3" applyNumberFormat="1" applyFont="1" applyFill="1" applyBorder="1" applyAlignment="1" applyProtection="1">
      <alignment horizontal="left"/>
    </xf>
    <xf numFmtId="164" fontId="28" fillId="3" borderId="21" xfId="3" applyNumberFormat="1" applyFont="1" applyFill="1" applyBorder="1" applyAlignment="1" applyProtection="1">
      <alignment horizontal="left"/>
    </xf>
    <xf numFmtId="164" fontId="28" fillId="3" borderId="10" xfId="3" applyNumberFormat="1" applyFont="1" applyFill="1" applyBorder="1" applyAlignment="1" applyProtection="1">
      <alignment horizontal="left"/>
    </xf>
    <xf numFmtId="0" fontId="26" fillId="3" borderId="26" xfId="4" applyNumberFormat="1" applyFont="1" applyFill="1" applyBorder="1" applyAlignment="1" applyProtection="1">
      <alignment horizontal="left" wrapText="1"/>
    </xf>
    <xf numFmtId="0" fontId="26" fillId="3" borderId="10" xfId="4" applyNumberFormat="1" applyFont="1" applyFill="1" applyBorder="1" applyAlignment="1" applyProtection="1">
      <alignment horizontal="left" wrapText="1"/>
    </xf>
    <xf numFmtId="2" fontId="38" fillId="2" borderId="8" xfId="0" applyNumberFormat="1" applyFont="1" applyFill="1" applyBorder="1" applyAlignment="1">
      <alignment horizontal="center" vertical="center"/>
    </xf>
    <xf numFmtId="2" fontId="38" fillId="2" borderId="10" xfId="0" applyNumberFormat="1" applyFont="1" applyFill="1" applyBorder="1" applyAlignment="1">
      <alignment horizontal="center" vertical="center"/>
    </xf>
    <xf numFmtId="2" fontId="25" fillId="0" borderId="8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0" fontId="34" fillId="0" borderId="0" xfId="7" applyFont="1" applyFill="1" applyBorder="1" applyAlignment="1">
      <alignment wrapText="1"/>
    </xf>
    <xf numFmtId="0" fontId="30" fillId="0" borderId="0" xfId="0" applyFont="1" applyAlignment="1">
      <alignment wrapText="1"/>
    </xf>
  </cellXfs>
  <cellStyles count="10">
    <cellStyle name="fa_column_header_empty" xfId="2"/>
    <cellStyle name="fa_data_bold_1_grouped" xfId="9"/>
    <cellStyle name="fa_data_standard_0_grouped" xfId="5"/>
    <cellStyle name="fa_data_standard_1_grouped" xfId="8"/>
    <cellStyle name="fa_row_header_bold 2" xfId="4"/>
    <cellStyle name="fa_row_header_standard 2" xfId="3"/>
    <cellStyle name="Гиперссылка" xfId="6" builtinId="8"/>
    <cellStyle name="Обычный" xfId="0" builtinId="0"/>
    <cellStyle name="Обычный 2" xfId="1"/>
    <cellStyle name="Обычный 3" xfId="7"/>
  </cellStyles>
  <dxfs count="0"/>
  <tableStyles count="0" defaultTableStyle="TableStyleMedium2" defaultPivotStyle="PivotStyleLight16"/>
  <colors>
    <mruColors>
      <color rgb="FF5B9BD5"/>
      <color rgb="FF2176C3"/>
      <color rgb="FF2175C1"/>
      <color rgb="FF0099FF"/>
      <color rgb="FF207DCF"/>
      <color rgb="FF336699"/>
      <color rgb="FF6D94C3"/>
      <color rgb="FF0099CC"/>
      <color rgb="FF3399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0</xdr:row>
      <xdr:rowOff>104775</xdr:rowOff>
    </xdr:from>
    <xdr:to>
      <xdr:col>10</xdr:col>
      <xdr:colOff>247650</xdr:colOff>
      <xdr:row>5</xdr:row>
      <xdr:rowOff>104775</xdr:rowOff>
    </xdr:to>
    <xdr:pic>
      <xdr:nvPicPr>
        <xdr:cNvPr id="4" name="Рисунок 3" descr="https://www.phosagro.com/bitrix/templates/main/images/logo_en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04775"/>
          <a:ext cx="11334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2</xdr:col>
      <xdr:colOff>675458</xdr:colOff>
      <xdr:row>3</xdr:row>
      <xdr:rowOff>13304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100519"/>
          <a:ext cx="838685" cy="559243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95251</xdr:colOff>
      <xdr:row>0</xdr:row>
      <xdr:rowOff>57150</xdr:rowOff>
    </xdr:from>
    <xdr:to>
      <xdr:col>0</xdr:col>
      <xdr:colOff>790575</xdr:colOff>
      <xdr:row>3</xdr:row>
      <xdr:rowOff>152399</xdr:rowOff>
    </xdr:to>
    <xdr:pic>
      <xdr:nvPicPr>
        <xdr:cNvPr id="5" name="Рисунок 4" descr="https://www.phosagro.com/bitrix/templates/main/images/logo_en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7150"/>
          <a:ext cx="695324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1</xdr:col>
      <xdr:colOff>766898</xdr:colOff>
      <xdr:row>3</xdr:row>
      <xdr:rowOff>28544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134791" cy="543340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95251</xdr:colOff>
      <xdr:row>0</xdr:row>
      <xdr:rowOff>57150</xdr:rowOff>
    </xdr:from>
    <xdr:to>
      <xdr:col>0</xdr:col>
      <xdr:colOff>790575</xdr:colOff>
      <xdr:row>3</xdr:row>
      <xdr:rowOff>167639</xdr:rowOff>
    </xdr:to>
    <xdr:pic>
      <xdr:nvPicPr>
        <xdr:cNvPr id="3" name="Рисунок 2" descr="https://www.phosagro.com/bitrix/templates/main/images/logo_en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7150"/>
          <a:ext cx="695324" cy="659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2</xdr:col>
      <xdr:colOff>675458</xdr:colOff>
      <xdr:row>2</xdr:row>
      <xdr:rowOff>196976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005251" cy="579535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oneCellAnchor>
    <xdr:from>
      <xdr:col>0</xdr:col>
      <xdr:colOff>13607</xdr:colOff>
      <xdr:row>81</xdr:row>
      <xdr:rowOff>0</xdr:rowOff>
    </xdr:from>
    <xdr:ext cx="5008715" cy="585596"/>
    <xdr:pic>
      <xdr:nvPicPr>
        <xdr:cNvPr id="5" name="Рисунок 4" descr="C:\Users\AlekseenkoVV\Documents\РАБОЧИЙ СТОЛ\ВНУТРЕННИЕ ДОКУМЕНТЫ\BRANDBOOK NN_2016\ЛОГОПИТ 2016\Logoblocks\NORNICKEL_logoblock_main_1color_inv_rus_preview.jp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0"/>
          <a:ext cx="5008715" cy="585596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oneCellAnchor>
  <xdr:twoCellAnchor editAs="oneCell">
    <xdr:from>
      <xdr:col>0</xdr:col>
      <xdr:colOff>76200</xdr:colOff>
      <xdr:row>1</xdr:row>
      <xdr:rowOff>47625</xdr:rowOff>
    </xdr:from>
    <xdr:to>
      <xdr:col>0</xdr:col>
      <xdr:colOff>771524</xdr:colOff>
      <xdr:row>4</xdr:row>
      <xdr:rowOff>142874</xdr:rowOff>
    </xdr:to>
    <xdr:pic>
      <xdr:nvPicPr>
        <xdr:cNvPr id="6" name="Рисунок 5" descr="https://www.phosagro.com/bitrix/templates/main/images/logo_en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95324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0</xdr:col>
      <xdr:colOff>781049</xdr:colOff>
      <xdr:row>4</xdr:row>
      <xdr:rowOff>9524</xdr:rowOff>
    </xdr:to>
    <xdr:pic>
      <xdr:nvPicPr>
        <xdr:cNvPr id="5" name="Рисунок 4" descr="https://www.phosagro.com/bitrix/templates/main/images/logo_en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695324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21</xdr:row>
      <xdr:rowOff>38100</xdr:rowOff>
    </xdr:from>
    <xdr:to>
      <xdr:col>0</xdr:col>
      <xdr:colOff>800099</xdr:colOff>
      <xdr:row>24</xdr:row>
      <xdr:rowOff>133349</xdr:rowOff>
    </xdr:to>
    <xdr:pic>
      <xdr:nvPicPr>
        <xdr:cNvPr id="6" name="Рисунок 5" descr="https://www.phosagro.com/bitrix/templates/main/images/logo_en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086225"/>
          <a:ext cx="695324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809624</xdr:colOff>
      <xdr:row>3</xdr:row>
      <xdr:rowOff>142874</xdr:rowOff>
    </xdr:to>
    <xdr:pic>
      <xdr:nvPicPr>
        <xdr:cNvPr id="3" name="Рисунок 2" descr="https://www.phosagro.com/bitrix/templates/main/images/logo_en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695324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Лист1"/>
      <sheetName val="Лист2"/>
      <sheetName val="Лист3"/>
      <sheetName val="NLMK-USA-MT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B12" t="str">
            <v>9010</v>
          </cell>
        </row>
      </sheetData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 refreshError="1"/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@phosagro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M24"/>
  <sheetViews>
    <sheetView zoomScaleNormal="100" zoomScaleSheetLayoutView="55" workbookViewId="0">
      <selection activeCell="C9" sqref="C9:G9"/>
    </sheetView>
  </sheetViews>
  <sheetFormatPr defaultColWidth="9.109375" defaultRowHeight="13.2"/>
  <cols>
    <col min="1" max="1" width="2.5546875" style="1" customWidth="1"/>
    <col min="2" max="2" width="5.44140625" style="1" customWidth="1"/>
    <col min="3" max="4" width="9.109375" style="1"/>
    <col min="5" max="5" width="9.5546875" style="1" customWidth="1"/>
    <col min="6" max="15" width="9.109375" style="1"/>
    <col min="16" max="16" width="15.6640625" style="1" customWidth="1"/>
    <col min="17" max="17" width="2.5546875" style="1" customWidth="1"/>
    <col min="18" max="16384" width="9.109375" style="1"/>
  </cols>
  <sheetData>
    <row r="1" spans="2:10" ht="14.25" customHeight="1"/>
    <row r="3" spans="2:10" ht="22.8">
      <c r="B3" s="19" t="s">
        <v>12</v>
      </c>
    </row>
    <row r="4" spans="2:10" ht="22.8">
      <c r="B4" s="19" t="s">
        <v>13</v>
      </c>
    </row>
    <row r="6" spans="2:10" ht="15">
      <c r="B6" s="17"/>
    </row>
    <row r="7" spans="2:10">
      <c r="B7" s="13"/>
    </row>
    <row r="8" spans="2:10" ht="17.399999999999999">
      <c r="B8" s="14"/>
      <c r="C8" s="272" t="s">
        <v>2</v>
      </c>
      <c r="D8" s="273"/>
      <c r="E8" s="273"/>
      <c r="F8" s="273"/>
      <c r="G8" s="273"/>
      <c r="H8" s="273"/>
    </row>
    <row r="9" spans="2:10" ht="17.399999999999999">
      <c r="B9" s="15"/>
      <c r="C9" s="317" t="s">
        <v>217</v>
      </c>
      <c r="D9" s="318"/>
      <c r="E9" s="318"/>
      <c r="F9" s="318"/>
      <c r="G9" s="319"/>
      <c r="H9" s="273"/>
      <c r="J9" s="20"/>
    </row>
    <row r="10" spans="2:10" ht="17.399999999999999">
      <c r="B10" s="15"/>
      <c r="C10" s="273"/>
      <c r="D10" s="273"/>
      <c r="E10" s="273"/>
      <c r="F10" s="273"/>
      <c r="G10" s="273"/>
      <c r="H10" s="273"/>
      <c r="J10" s="20"/>
    </row>
    <row r="11" spans="2:10" ht="17.399999999999999">
      <c r="B11" s="15"/>
      <c r="C11" s="317" t="s">
        <v>218</v>
      </c>
      <c r="D11" s="318"/>
      <c r="E11" s="318"/>
      <c r="F11" s="318"/>
      <c r="G11" s="319"/>
      <c r="H11" s="273"/>
      <c r="J11" s="20"/>
    </row>
    <row r="12" spans="2:10" ht="17.399999999999999">
      <c r="B12" s="15"/>
      <c r="C12" s="273"/>
      <c r="D12" s="273"/>
      <c r="E12" s="273"/>
      <c r="F12" s="273"/>
      <c r="G12" s="273"/>
      <c r="H12" s="273"/>
      <c r="J12" s="20"/>
    </row>
    <row r="13" spans="2:10" ht="17.399999999999999">
      <c r="B13" s="15"/>
      <c r="C13" s="317" t="s">
        <v>61</v>
      </c>
      <c r="D13" s="318"/>
      <c r="E13" s="318"/>
      <c r="F13" s="318"/>
      <c r="G13" s="319"/>
      <c r="H13" s="273"/>
      <c r="J13" s="20"/>
    </row>
    <row r="14" spans="2:10" ht="17.399999999999999">
      <c r="B14" s="10"/>
      <c r="C14" s="273"/>
      <c r="D14" s="273"/>
      <c r="E14" s="273"/>
      <c r="F14" s="273"/>
      <c r="G14" s="273"/>
      <c r="H14" s="273"/>
    </row>
    <row r="15" spans="2:10" ht="17.399999999999999">
      <c r="B15" s="10"/>
      <c r="C15" s="317" t="s">
        <v>14</v>
      </c>
      <c r="D15" s="318"/>
      <c r="E15" s="318"/>
      <c r="F15" s="318"/>
      <c r="G15" s="319"/>
      <c r="H15" s="273"/>
    </row>
    <row r="16" spans="2:10" ht="17.399999999999999">
      <c r="C16" s="273"/>
      <c r="D16" s="273"/>
      <c r="E16" s="273"/>
      <c r="F16" s="273"/>
      <c r="G16" s="273"/>
      <c r="H16" s="273"/>
    </row>
    <row r="17" spans="2:13" ht="17.399999999999999">
      <c r="B17" s="12"/>
      <c r="C17" s="317" t="s">
        <v>15</v>
      </c>
      <c r="D17" s="318"/>
      <c r="E17" s="318"/>
      <c r="F17" s="318"/>
      <c r="G17" s="319"/>
      <c r="H17" s="273"/>
      <c r="L17"/>
      <c r="M17"/>
    </row>
    <row r="18" spans="2:13" ht="15">
      <c r="B18" s="9"/>
      <c r="C18" s="10"/>
      <c r="D18" s="10"/>
      <c r="E18" s="10"/>
      <c r="F18" s="10"/>
      <c r="G18" s="10"/>
    </row>
    <row r="19" spans="2:13" ht="15">
      <c r="B19" s="9"/>
      <c r="C19" s="10"/>
      <c r="D19" s="10"/>
      <c r="E19" s="10"/>
      <c r="F19" s="10"/>
      <c r="G19" s="10"/>
    </row>
    <row r="20" spans="2:13">
      <c r="D20" s="10"/>
      <c r="E20" s="10"/>
      <c r="F20" s="10"/>
      <c r="G20" s="10"/>
    </row>
    <row r="21" spans="2:13" ht="15.6">
      <c r="C21" s="21" t="s">
        <v>16</v>
      </c>
      <c r="D21" s="16"/>
      <c r="E21" s="16"/>
      <c r="F21" s="11"/>
      <c r="G21" s="11"/>
    </row>
    <row r="22" spans="2:13" ht="15">
      <c r="C22" s="20" t="s">
        <v>4</v>
      </c>
      <c r="D22" s="18"/>
      <c r="E22" s="18"/>
      <c r="F22" s="10"/>
      <c r="G22" s="10"/>
    </row>
    <row r="23" spans="2:13" ht="13.8">
      <c r="C23" s="22" t="s">
        <v>3</v>
      </c>
      <c r="D23" s="10"/>
      <c r="E23" s="10"/>
      <c r="F23" s="10"/>
      <c r="G23" s="10"/>
    </row>
    <row r="24" spans="2:13">
      <c r="D24" s="10"/>
      <c r="E24" s="10"/>
      <c r="F24" s="10"/>
      <c r="G24" s="10"/>
    </row>
  </sheetData>
  <mergeCells count="5">
    <mergeCell ref="C9:G9"/>
    <mergeCell ref="C15:G15"/>
    <mergeCell ref="C13:G13"/>
    <mergeCell ref="C17:G17"/>
    <mergeCell ref="C11:G11"/>
  </mergeCells>
  <hyperlinks>
    <hyperlink ref="C17" location="'Stock charts'!A1" display="STOCK CHARTS"/>
    <hyperlink ref="C9" location="'Summary result '!A1" display="SUMMARY RESULT"/>
    <hyperlink ref="C15" location="'Price performance'!A1" display="PRICE PERFORMANCE"/>
    <hyperlink ref="C9:E9" location="ЭКОЛОГИЯ!A1" display="ENVIRONMENT"/>
    <hyperlink ref="C15:E15" location="'СОЦИАЛЬНАЯ ОТВЕТСТВЕННОСТЬ'!A1" display="SOCIAL"/>
    <hyperlink ref="C17:E17" location="'КОРПОРАТИВНОЕ УПРАВЛЕНИЕ'!A1" display="GOVERNANCE"/>
    <hyperlink ref="C23" r:id="rId1"/>
    <hyperlink ref="C13" location="'Summary result '!A1" display="SUMMARY RESULT"/>
    <hyperlink ref="C13:E13" location="ЭКОЛОГИЯ!A1" display="ENVIRONMENT"/>
    <hyperlink ref="C13:G13" location="'ENERGY EFFICIENCY'!A1" display="ENERGY EFFICIENCY"/>
    <hyperlink ref="C15:G15" location="SOCIAL!A1" display="SOCIAL"/>
    <hyperlink ref="C17:G17" location="GOVERNANCE!A1" display="GOVERNANCE"/>
    <hyperlink ref="C11" location="'Summary result '!A1" display="SUMMARY RESULT"/>
    <hyperlink ref="C11:E11" location="ЭКОЛОГИЯ!A1" display="ENVIRONMENT"/>
    <hyperlink ref="C9:G9" location="'ENVIRONMENT net'!A1" display="ENVIRONMENT net"/>
    <hyperlink ref="C11:G11" location="'ENVIRONMENT total'!A1" display="ENVIRONMENT total"/>
  </hyperlinks>
  <pageMargins left="0.7" right="0.7" top="0.75" bottom="0.75" header="0.3" footer="0.3"/>
  <pageSetup paperSize="9" scale="3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00"/>
  <sheetViews>
    <sheetView showGridLines="0" tabSelected="1" zoomScaleNormal="100" zoomScaleSheetLayoutView="85" workbookViewId="0">
      <selection activeCell="K25" sqref="K25"/>
    </sheetView>
  </sheetViews>
  <sheetFormatPr defaultRowHeight="14.4"/>
  <cols>
    <col min="1" max="1" width="47.88671875" bestFit="1" customWidth="1"/>
    <col min="2" max="2" width="17.33203125" customWidth="1"/>
    <col min="3" max="3" width="12.88671875" bestFit="1" customWidth="1"/>
    <col min="4" max="4" width="14.33203125" customWidth="1"/>
    <col min="5" max="5" width="12.88671875" bestFit="1" customWidth="1"/>
    <col min="6" max="6" width="14.21875" customWidth="1"/>
    <col min="7" max="7" width="12.88671875" bestFit="1" customWidth="1"/>
    <col min="8" max="10" width="14.44140625" customWidth="1"/>
    <col min="11" max="11" width="18.6640625" customWidth="1"/>
    <col min="12" max="12" width="14.664062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.6">
      <c r="A2" s="68" t="s">
        <v>216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>
      <c r="A5" s="24" t="s">
        <v>17</v>
      </c>
      <c r="B5" s="38" t="s">
        <v>26</v>
      </c>
      <c r="C5" s="35">
        <v>2013</v>
      </c>
      <c r="D5" s="35">
        <v>2014</v>
      </c>
      <c r="E5" s="35">
        <v>2015</v>
      </c>
      <c r="F5" s="35">
        <v>2016</v>
      </c>
      <c r="G5" s="35">
        <v>2017</v>
      </c>
      <c r="H5" s="35">
        <v>2018</v>
      </c>
      <c r="I5" s="107">
        <v>2019</v>
      </c>
      <c r="J5" s="107">
        <v>2020</v>
      </c>
      <c r="K5" s="35" t="s">
        <v>162</v>
      </c>
      <c r="L5" s="2"/>
    </row>
    <row r="6" spans="1:12">
      <c r="A6" s="25" t="s">
        <v>18</v>
      </c>
      <c r="B6" s="29" t="s">
        <v>27</v>
      </c>
      <c r="C6" s="31">
        <v>1.3338224696566123</v>
      </c>
      <c r="D6" s="31">
        <v>1.2131776748884397</v>
      </c>
      <c r="E6" s="31">
        <v>1.2052215614417767</v>
      </c>
      <c r="F6" s="31">
        <v>1.1643115971507914</v>
      </c>
      <c r="G6" s="31">
        <v>1.1311721586944072</v>
      </c>
      <c r="H6" s="31">
        <v>1.0484901291066027</v>
      </c>
      <c r="I6" s="31">
        <v>0.88800000000000001</v>
      </c>
      <c r="J6" s="32">
        <v>0.89200000000000002</v>
      </c>
      <c r="K6" s="57">
        <v>0.8</v>
      </c>
      <c r="L6" s="2"/>
    </row>
    <row r="7" spans="1:12">
      <c r="A7" s="26" t="s">
        <v>19</v>
      </c>
      <c r="B7" s="29" t="s">
        <v>27</v>
      </c>
      <c r="C7" s="31">
        <v>1.4294478832280333</v>
      </c>
      <c r="D7" s="31">
        <v>1.4345488374505038</v>
      </c>
      <c r="E7" s="31">
        <v>1.3247797647279242</v>
      </c>
      <c r="F7" s="31">
        <v>1.2135613638696203</v>
      </c>
      <c r="G7" s="31">
        <v>1.0565546823764136</v>
      </c>
      <c r="H7" s="31">
        <v>1.0602180152130962</v>
      </c>
      <c r="I7" s="31">
        <v>0.79300000000000004</v>
      </c>
      <c r="J7" s="32">
        <v>0.85899999999999999</v>
      </c>
      <c r="K7" s="2"/>
      <c r="L7" s="2"/>
    </row>
    <row r="8" spans="1:12">
      <c r="A8" s="26" t="s">
        <v>20</v>
      </c>
      <c r="B8" s="29" t="s">
        <v>27</v>
      </c>
      <c r="C8" s="31">
        <v>1.2556664394868762</v>
      </c>
      <c r="D8" s="31">
        <v>1.1150725695973982</v>
      </c>
      <c r="E8" s="31">
        <v>1.0126853752207472</v>
      </c>
      <c r="F8" s="31">
        <v>1.0876446008411487</v>
      </c>
      <c r="G8" s="31">
        <v>1.3269983414561004</v>
      </c>
      <c r="H8" s="31">
        <v>1.2514266324286705</v>
      </c>
      <c r="I8" s="31">
        <v>1.177</v>
      </c>
      <c r="J8" s="32">
        <v>1.194</v>
      </c>
      <c r="K8" s="2"/>
      <c r="L8" s="2"/>
    </row>
    <row r="9" spans="1:12">
      <c r="A9" s="25" t="s">
        <v>21</v>
      </c>
      <c r="B9" s="29" t="s">
        <v>27</v>
      </c>
      <c r="C9" s="31">
        <v>4.0083442492994603</v>
      </c>
      <c r="D9" s="31">
        <v>3.2219796079462348</v>
      </c>
      <c r="E9" s="31">
        <v>1.7783217461569587</v>
      </c>
      <c r="F9" s="31">
        <v>2.618529289341839</v>
      </c>
      <c r="G9" s="31">
        <v>2.5064916461030791</v>
      </c>
      <c r="H9" s="31">
        <v>1.8647957214903015</v>
      </c>
      <c r="I9" s="31">
        <v>1.89</v>
      </c>
      <c r="J9" s="32">
        <v>1.722</v>
      </c>
      <c r="K9" s="2"/>
      <c r="L9" s="2"/>
    </row>
    <row r="10" spans="1:12">
      <c r="A10" s="26" t="s">
        <v>23</v>
      </c>
      <c r="B10" s="29" t="s">
        <v>27</v>
      </c>
      <c r="C10" s="31">
        <v>1.1582979041086345</v>
      </c>
      <c r="D10" s="31">
        <v>0.96681874159603165</v>
      </c>
      <c r="E10" s="31">
        <v>1.1573901624528526</v>
      </c>
      <c r="F10" s="31">
        <v>1.0887956691750571</v>
      </c>
      <c r="G10" s="31">
        <v>1.046790051414676</v>
      </c>
      <c r="H10" s="31">
        <v>0.916342138906591</v>
      </c>
      <c r="I10" s="31">
        <v>0.80300000000000005</v>
      </c>
      <c r="J10" s="32">
        <v>0.76500000000000001</v>
      </c>
      <c r="K10" s="2"/>
      <c r="L10" s="2"/>
    </row>
    <row r="11" spans="1:12">
      <c r="A11" s="26" t="s">
        <v>25</v>
      </c>
      <c r="B11" s="29" t="s">
        <v>6</v>
      </c>
      <c r="C11" s="31">
        <v>1.5096469692354553</v>
      </c>
      <c r="D11" s="31">
        <v>1.4986664586583462</v>
      </c>
      <c r="E11" s="31">
        <v>1.8434731769996786</v>
      </c>
      <c r="F11" s="31">
        <v>2.1707547304534094</v>
      </c>
      <c r="G11" s="31">
        <v>1.9921891891891892</v>
      </c>
      <c r="H11" s="31">
        <v>1.558289551437013</v>
      </c>
      <c r="I11" s="31">
        <f>4717.9/I89</f>
        <v>1.2308635533524654</v>
      </c>
      <c r="J11" s="32">
        <f>3367.15/J89</f>
        <v>0.95494895065229723</v>
      </c>
      <c r="K11" s="2"/>
      <c r="L11" s="2"/>
    </row>
    <row r="12" spans="1:12">
      <c r="A12" s="27" t="s">
        <v>24</v>
      </c>
      <c r="B12" s="30" t="s">
        <v>6</v>
      </c>
      <c r="C12" s="33">
        <v>3.9846356990557417</v>
      </c>
      <c r="D12" s="33">
        <v>2.8555653666146643</v>
      </c>
      <c r="E12" s="33">
        <v>3.3229701252810795</v>
      </c>
      <c r="F12" s="33">
        <v>3.8040060692609781</v>
      </c>
      <c r="G12" s="33">
        <v>3.6803413770913775</v>
      </c>
      <c r="H12" s="33">
        <v>3.0514431909750197</v>
      </c>
      <c r="I12" s="33">
        <f>11211.1/I89</f>
        <v>2.9248891207931127</v>
      </c>
      <c r="J12" s="34">
        <f>11211.1/J89</f>
        <v>3.1795519001701646</v>
      </c>
      <c r="K12" s="2"/>
      <c r="L12" s="2"/>
    </row>
    <row r="13" spans="1:12">
      <c r="A13" s="2"/>
      <c r="B13" s="2"/>
      <c r="C13" s="2"/>
      <c r="D13" s="31"/>
      <c r="E13" s="31"/>
      <c r="F13" s="31"/>
      <c r="G13" s="31"/>
      <c r="H13" s="2"/>
      <c r="I13" s="2"/>
      <c r="J13" s="2"/>
      <c r="K13" s="2"/>
      <c r="L13" s="2"/>
    </row>
    <row r="14" spans="1:12">
      <c r="A14" s="24" t="s">
        <v>161</v>
      </c>
      <c r="B14" s="38" t="s">
        <v>26</v>
      </c>
      <c r="C14" s="35">
        <v>2013</v>
      </c>
      <c r="D14" s="35">
        <v>2014</v>
      </c>
      <c r="E14" s="35">
        <v>2015</v>
      </c>
      <c r="F14" s="35">
        <v>2016</v>
      </c>
      <c r="G14" s="35">
        <v>2017</v>
      </c>
      <c r="H14" s="35">
        <v>2018</v>
      </c>
      <c r="I14" s="107">
        <v>2019</v>
      </c>
      <c r="J14" s="107">
        <v>2020</v>
      </c>
      <c r="K14" s="107" t="s">
        <v>165</v>
      </c>
      <c r="L14" s="2"/>
    </row>
    <row r="15" spans="1:12">
      <c r="A15" s="25" t="s">
        <v>18</v>
      </c>
      <c r="B15" s="29" t="s">
        <v>30</v>
      </c>
      <c r="C15" s="31">
        <v>9.3574210162704539</v>
      </c>
      <c r="D15" s="31">
        <v>9.2723821255896564</v>
      </c>
      <c r="E15" s="31">
        <v>8.9159275810427339</v>
      </c>
      <c r="F15" s="31">
        <v>8.5894138013533166</v>
      </c>
      <c r="G15" s="31">
        <v>8.1413063049243615</v>
      </c>
      <c r="H15" s="31">
        <v>7.2935669960408074</v>
      </c>
      <c r="I15" s="31">
        <v>5.8490000000000002</v>
      </c>
      <c r="J15" s="32">
        <v>6.6977624072596145</v>
      </c>
      <c r="K15" s="57">
        <v>5.16</v>
      </c>
      <c r="L15" s="309"/>
    </row>
    <row r="16" spans="1:12">
      <c r="A16" s="26" t="s">
        <v>19</v>
      </c>
      <c r="B16" s="29" t="s">
        <v>30</v>
      </c>
      <c r="C16" s="31">
        <v>20.619487364274882</v>
      </c>
      <c r="D16" s="31">
        <v>21.422850015218525</v>
      </c>
      <c r="E16" s="31">
        <v>21.056412609288756</v>
      </c>
      <c r="F16" s="31">
        <v>20.187135404368014</v>
      </c>
      <c r="G16" s="31">
        <v>18.870997021782571</v>
      </c>
      <c r="H16" s="31">
        <v>16.758747119390797</v>
      </c>
      <c r="I16" s="31">
        <v>12.500303310999829</v>
      </c>
      <c r="J16" s="32">
        <v>15.398999999999999</v>
      </c>
      <c r="K16" s="2"/>
      <c r="L16" s="309"/>
    </row>
    <row r="17" spans="1:12">
      <c r="A17" s="26" t="s">
        <v>20</v>
      </c>
      <c r="B17" s="29" t="s">
        <v>30</v>
      </c>
      <c r="C17" s="31">
        <v>1.5748224211307496</v>
      </c>
      <c r="D17" s="31">
        <v>1.5296778948196355</v>
      </c>
      <c r="E17" s="31">
        <v>1.5358619028395704</v>
      </c>
      <c r="F17" s="31">
        <v>1.457682379203201</v>
      </c>
      <c r="G17" s="31">
        <v>1.450298792307197</v>
      </c>
      <c r="H17" s="31">
        <v>1.4303212133962206</v>
      </c>
      <c r="I17" s="31">
        <v>1.4281102204645573</v>
      </c>
      <c r="J17" s="32">
        <v>1.3929215140095035</v>
      </c>
      <c r="K17" s="2"/>
      <c r="L17" s="309"/>
    </row>
    <row r="18" spans="1:12">
      <c r="A18" s="25" t="s">
        <v>21</v>
      </c>
      <c r="B18" s="29" t="s">
        <v>30</v>
      </c>
      <c r="C18" s="31">
        <v>7.0126890327403606</v>
      </c>
      <c r="D18" s="31">
        <v>6.4127222214594424</v>
      </c>
      <c r="E18" s="31">
        <v>4.8986084356589199</v>
      </c>
      <c r="F18" s="31">
        <v>4.5267586638511075</v>
      </c>
      <c r="G18" s="31">
        <v>4.5122464633128541</v>
      </c>
      <c r="H18" s="31">
        <v>3.3817300705387807</v>
      </c>
      <c r="I18" s="31">
        <v>3.8050318593739609</v>
      </c>
      <c r="J18" s="32">
        <v>4.8148148148148149</v>
      </c>
      <c r="K18" s="2"/>
      <c r="L18" s="309"/>
    </row>
    <row r="19" spans="1:12">
      <c r="A19" s="27" t="s">
        <v>22</v>
      </c>
      <c r="B19" s="30" t="s">
        <v>30</v>
      </c>
      <c r="C19" s="33">
        <v>2.2163637109202181</v>
      </c>
      <c r="D19" s="33">
        <v>2.1298778052021925</v>
      </c>
      <c r="E19" s="33">
        <v>1.9565375306065855</v>
      </c>
      <c r="F19" s="33">
        <v>1.9465384181275196</v>
      </c>
      <c r="G19" s="33">
        <v>2.0691579473200226</v>
      </c>
      <c r="H19" s="33">
        <v>2.1995787403997862</v>
      </c>
      <c r="I19" s="33">
        <v>2.3676119401094176</v>
      </c>
      <c r="J19" s="34">
        <v>2.3191104215153864</v>
      </c>
      <c r="K19" s="2"/>
      <c r="L19" s="309"/>
    </row>
    <row r="20" spans="1:12">
      <c r="A20" s="2"/>
      <c r="B20" s="2"/>
      <c r="C20" s="2"/>
      <c r="D20" s="31"/>
      <c r="E20" s="31"/>
      <c r="F20" s="31"/>
      <c r="G20" s="31"/>
      <c r="H20" s="2"/>
      <c r="I20" s="2"/>
      <c r="J20" s="2"/>
      <c r="K20" s="2"/>
      <c r="L20" s="2"/>
    </row>
    <row r="21" spans="1:12">
      <c r="A21" s="24" t="s">
        <v>164</v>
      </c>
      <c r="B21" s="38" t="s">
        <v>26</v>
      </c>
      <c r="C21" s="35">
        <v>2013</v>
      </c>
      <c r="D21" s="35">
        <v>2014</v>
      </c>
      <c r="E21" s="35">
        <v>2015</v>
      </c>
      <c r="F21" s="35">
        <v>2016</v>
      </c>
      <c r="G21" s="35">
        <v>2017</v>
      </c>
      <c r="H21" s="35">
        <v>2018</v>
      </c>
      <c r="I21" s="107">
        <v>2019</v>
      </c>
      <c r="J21" s="107">
        <v>2020</v>
      </c>
      <c r="K21" s="107" t="s">
        <v>165</v>
      </c>
      <c r="L21" s="2"/>
    </row>
    <row r="22" spans="1:12">
      <c r="A22" s="25" t="s">
        <v>18</v>
      </c>
      <c r="B22" s="29" t="s">
        <v>30</v>
      </c>
      <c r="C22" s="31">
        <v>8.2619356639728494</v>
      </c>
      <c r="D22" s="31">
        <v>8.1133866752770398</v>
      </c>
      <c r="E22" s="31">
        <v>7.8585094356514551</v>
      </c>
      <c r="F22" s="31">
        <v>7.7658573922197434</v>
      </c>
      <c r="G22" s="31">
        <v>7.4761683405007178</v>
      </c>
      <c r="H22" s="31">
        <v>6.0394382714564756</v>
      </c>
      <c r="I22" s="31">
        <v>4.6840000000000002</v>
      </c>
      <c r="J22" s="32">
        <v>5.57</v>
      </c>
      <c r="K22" s="57">
        <v>4.16</v>
      </c>
      <c r="L22" s="2"/>
    </row>
    <row r="23" spans="1:12">
      <c r="A23" s="26" t="s">
        <v>19</v>
      </c>
      <c r="B23" s="29" t="s">
        <v>30</v>
      </c>
      <c r="C23" s="31">
        <v>19.969893464116829</v>
      </c>
      <c r="D23" s="31">
        <v>20.814459281835184</v>
      </c>
      <c r="E23" s="31">
        <v>20.365531838964699</v>
      </c>
      <c r="F23" s="31">
        <v>20.028109179975658</v>
      </c>
      <c r="G23" s="31">
        <v>19.048797306217672</v>
      </c>
      <c r="H23" s="31">
        <v>15.625449193063769</v>
      </c>
      <c r="I23" s="31">
        <v>11.811</v>
      </c>
      <c r="J23" s="121">
        <v>14.920999999999999</v>
      </c>
      <c r="K23" s="2"/>
      <c r="L23" s="2"/>
    </row>
    <row r="24" spans="1:12">
      <c r="A24" s="26" t="s">
        <v>20</v>
      </c>
      <c r="B24" s="29" t="s">
        <v>30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121">
        <v>0</v>
      </c>
      <c r="K24" s="2"/>
      <c r="L24" s="2"/>
    </row>
    <row r="25" spans="1:12">
      <c r="A25" s="25" t="s">
        <v>21</v>
      </c>
      <c r="B25" s="29" t="s">
        <v>30</v>
      </c>
      <c r="C25" s="31">
        <v>2.8164903327192423</v>
      </c>
      <c r="D25" s="31">
        <v>2.0031696163395725</v>
      </c>
      <c r="E25" s="31">
        <v>2.2062396270490314</v>
      </c>
      <c r="F25" s="31">
        <v>2.2619146817522995</v>
      </c>
      <c r="G25" s="31">
        <v>1.6189570948987391</v>
      </c>
      <c r="H25" s="31">
        <v>0.21556612988176033</v>
      </c>
      <c r="I25" s="31">
        <v>0</v>
      </c>
      <c r="J25" s="121">
        <v>1.61074545041726E-5</v>
      </c>
      <c r="K25" s="2"/>
      <c r="L25" s="2"/>
    </row>
    <row r="26" spans="1:12">
      <c r="A26" s="27" t="s">
        <v>22</v>
      </c>
      <c r="B26" s="30" t="s">
        <v>30</v>
      </c>
      <c r="C26" s="33">
        <v>1.0508459154774681</v>
      </c>
      <c r="D26" s="33">
        <v>0.80269167273155106</v>
      </c>
      <c r="E26" s="33">
        <v>0.88014229413561063</v>
      </c>
      <c r="F26" s="33">
        <v>0.90047818992888562</v>
      </c>
      <c r="G26" s="33">
        <v>1.1285946880475648</v>
      </c>
      <c r="H26" s="33">
        <v>1.0117574559897242</v>
      </c>
      <c r="I26" s="33">
        <v>1.0369999999999999</v>
      </c>
      <c r="J26" s="122">
        <v>0.9558025263801988</v>
      </c>
      <c r="K26" s="2"/>
      <c r="L26" s="2"/>
    </row>
    <row r="27" spans="1:12">
      <c r="A27" s="106"/>
      <c r="B27" s="28"/>
      <c r="C27" s="37"/>
      <c r="D27" s="37"/>
      <c r="E27" s="37"/>
      <c r="F27" s="37"/>
      <c r="G27" s="37"/>
      <c r="H27" s="37"/>
      <c r="I27" s="37"/>
      <c r="J27" s="37"/>
      <c r="K27" s="2"/>
      <c r="L27" s="2"/>
    </row>
    <row r="28" spans="1:12">
      <c r="A28" s="24" t="s">
        <v>31</v>
      </c>
      <c r="B28" s="38" t="s">
        <v>26</v>
      </c>
      <c r="C28" s="35">
        <v>2013</v>
      </c>
      <c r="D28" s="35">
        <v>2014</v>
      </c>
      <c r="E28" s="35">
        <v>2015</v>
      </c>
      <c r="F28" s="35">
        <v>2016</v>
      </c>
      <c r="G28" s="35">
        <v>2017</v>
      </c>
      <c r="H28" s="35">
        <v>2018</v>
      </c>
      <c r="I28" s="107">
        <v>2019</v>
      </c>
      <c r="J28" s="107">
        <v>2020</v>
      </c>
      <c r="K28" s="2"/>
      <c r="L28" s="2"/>
    </row>
    <row r="29" spans="1:12">
      <c r="A29" s="25" t="s">
        <v>18</v>
      </c>
      <c r="B29" s="29" t="s">
        <v>27</v>
      </c>
      <c r="C29" s="31">
        <v>3.6841001703429406</v>
      </c>
      <c r="D29" s="31">
        <v>3.3007890202572363</v>
      </c>
      <c r="E29" s="31">
        <v>3.255374997839604</v>
      </c>
      <c r="F29" s="31">
        <v>1.2574540115312103</v>
      </c>
      <c r="G29" s="31">
        <v>1.0308684823907817</v>
      </c>
      <c r="H29" s="31">
        <v>0.77244378354818455</v>
      </c>
      <c r="I29" s="31">
        <v>0.61399999999999999</v>
      </c>
      <c r="J29" s="32">
        <v>0.40140667730877988</v>
      </c>
      <c r="K29" s="2"/>
      <c r="L29" s="2"/>
    </row>
    <row r="30" spans="1:12">
      <c r="A30" s="26" t="s">
        <v>19</v>
      </c>
      <c r="B30" s="29" t="s">
        <v>27</v>
      </c>
      <c r="C30" s="31">
        <v>8.0732874944347142</v>
      </c>
      <c r="D30" s="31">
        <v>8.0742264686358496</v>
      </c>
      <c r="E30" s="31">
        <v>7.9864824279174611</v>
      </c>
      <c r="F30" s="31">
        <v>2.4419444828935584</v>
      </c>
      <c r="G30" s="31">
        <v>1.9224436209489029</v>
      </c>
      <c r="H30" s="31">
        <v>1.482977208425911</v>
      </c>
      <c r="I30" s="31">
        <v>1.0680000000000001</v>
      </c>
      <c r="J30" s="32">
        <v>0.56564638332717365</v>
      </c>
      <c r="K30" s="2"/>
      <c r="L30" s="2"/>
    </row>
    <row r="31" spans="1:12">
      <c r="A31" s="26" t="s">
        <v>20</v>
      </c>
      <c r="B31" s="29" t="s">
        <v>27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2">
        <v>0</v>
      </c>
      <c r="K31" s="2"/>
      <c r="L31" s="2"/>
    </row>
    <row r="32" spans="1:12">
      <c r="A32" s="25" t="s">
        <v>21</v>
      </c>
      <c r="B32" s="29" t="s">
        <v>27</v>
      </c>
      <c r="C32" s="31">
        <v>10.316387565532365</v>
      </c>
      <c r="D32" s="31">
        <v>2.8945651276028297</v>
      </c>
      <c r="E32" s="31">
        <v>5.4145683994621363</v>
      </c>
      <c r="F32" s="31">
        <v>4.4652037714346102</v>
      </c>
      <c r="G32" s="31">
        <v>2.7222643952218042</v>
      </c>
      <c r="H32" s="31">
        <v>0.2713355496307181</v>
      </c>
      <c r="I32" s="31">
        <v>0</v>
      </c>
      <c r="J32" s="32">
        <v>1.3850800128138019E-5</v>
      </c>
      <c r="K32" s="2"/>
      <c r="L32" s="2"/>
    </row>
    <row r="33" spans="1:12">
      <c r="A33" s="27" t="s">
        <v>22</v>
      </c>
      <c r="B33" s="30" t="s">
        <v>27</v>
      </c>
      <c r="C33" s="33">
        <v>0.86141653308469812</v>
      </c>
      <c r="D33" s="33">
        <v>0.5786921631811327</v>
      </c>
      <c r="E33" s="33">
        <v>0.51580943207340613</v>
      </c>
      <c r="F33" s="33">
        <v>0.65027647445741699</v>
      </c>
      <c r="G33" s="33">
        <v>0.6414537868811947</v>
      </c>
      <c r="H33" s="33">
        <v>0.53640979709489567</v>
      </c>
      <c r="I33" s="33">
        <v>0.52700000000000002</v>
      </c>
      <c r="J33" s="34">
        <v>0.45232084753115576</v>
      </c>
      <c r="K33" s="2"/>
      <c r="L33" s="2"/>
    </row>
    <row r="34" spans="1:12">
      <c r="A34" s="2"/>
      <c r="B34" s="2"/>
      <c r="C34" s="2"/>
      <c r="D34" s="31"/>
      <c r="E34" s="31"/>
      <c r="F34" s="31"/>
      <c r="G34" s="31"/>
      <c r="H34" s="2"/>
      <c r="I34" s="2"/>
      <c r="J34" s="2"/>
      <c r="K34" s="2"/>
      <c r="L34" s="2"/>
    </row>
    <row r="35" spans="1:12">
      <c r="A35" s="24" t="s">
        <v>32</v>
      </c>
      <c r="B35" s="38" t="s">
        <v>26</v>
      </c>
      <c r="C35" s="35">
        <v>2013</v>
      </c>
      <c r="D35" s="35">
        <v>2014</v>
      </c>
      <c r="E35" s="35">
        <v>2015</v>
      </c>
      <c r="F35" s="35">
        <v>2016</v>
      </c>
      <c r="G35" s="35">
        <v>2017</v>
      </c>
      <c r="H35" s="35">
        <v>2018</v>
      </c>
      <c r="I35" s="107">
        <v>2019</v>
      </c>
      <c r="J35" s="107">
        <v>2020</v>
      </c>
      <c r="K35" s="107" t="s">
        <v>220</v>
      </c>
      <c r="L35" s="2"/>
    </row>
    <row r="36" spans="1:12">
      <c r="A36" s="25" t="s">
        <v>18</v>
      </c>
      <c r="B36" s="29" t="s">
        <v>27</v>
      </c>
      <c r="C36" s="31" t="s">
        <v>33</v>
      </c>
      <c r="D36" s="31" t="s">
        <v>33</v>
      </c>
      <c r="E36" s="31">
        <v>125.3405562580088</v>
      </c>
      <c r="F36" s="31">
        <v>141.46974663686615</v>
      </c>
      <c r="G36" s="31">
        <v>145.94799691476138</v>
      </c>
      <c r="H36" s="31">
        <v>157.97281888836446</v>
      </c>
      <c r="I36" s="31">
        <v>143.27199999999999</v>
      </c>
      <c r="J36" s="32">
        <v>140.08957918884281</v>
      </c>
      <c r="K36" s="57">
        <v>109.1</v>
      </c>
      <c r="L36" s="2"/>
    </row>
    <row r="37" spans="1:12">
      <c r="A37" s="26" t="s">
        <v>19</v>
      </c>
      <c r="B37" s="29" t="s">
        <v>27</v>
      </c>
      <c r="C37" s="31" t="s">
        <v>33</v>
      </c>
      <c r="D37" s="31" t="s">
        <v>33</v>
      </c>
      <c r="E37" s="31">
        <v>62.03605543035853</v>
      </c>
      <c r="F37" s="31">
        <v>59.676275195801423</v>
      </c>
      <c r="G37" s="31">
        <v>54.243615084202894</v>
      </c>
      <c r="H37" s="31">
        <v>53.041926718572057</v>
      </c>
      <c r="I37" s="31">
        <v>54.701999999999998</v>
      </c>
      <c r="J37" s="32">
        <v>55.537246785433908</v>
      </c>
      <c r="K37" s="2"/>
      <c r="L37" s="2"/>
    </row>
    <row r="38" spans="1:12">
      <c r="A38" s="26" t="s">
        <v>20</v>
      </c>
      <c r="B38" s="29" t="s">
        <v>27</v>
      </c>
      <c r="C38" s="31" t="s">
        <v>33</v>
      </c>
      <c r="D38" s="31" t="s">
        <v>33</v>
      </c>
      <c r="E38" s="31">
        <v>29.140373672104896</v>
      </c>
      <c r="F38" s="31">
        <v>34.78272774283279</v>
      </c>
      <c r="G38" s="31">
        <v>30.718401608518782</v>
      </c>
      <c r="H38" s="31">
        <v>28.427454065744676</v>
      </c>
      <c r="I38" s="31">
        <v>25.65</v>
      </c>
      <c r="J38" s="32">
        <v>27.857647022916368</v>
      </c>
      <c r="K38" s="2"/>
      <c r="L38" s="2"/>
    </row>
    <row r="39" spans="1:12">
      <c r="A39" s="25" t="s">
        <v>21</v>
      </c>
      <c r="B39" s="29" t="s">
        <v>27</v>
      </c>
      <c r="C39" s="31" t="s">
        <v>33</v>
      </c>
      <c r="D39" s="31" t="s">
        <v>33</v>
      </c>
      <c r="E39" s="31">
        <v>221.6783589074318</v>
      </c>
      <c r="F39" s="31">
        <v>207.33310756608586</v>
      </c>
      <c r="G39" s="31">
        <v>183.86028111707446</v>
      </c>
      <c r="H39" s="31">
        <v>181.49742222643223</v>
      </c>
      <c r="I39" s="31">
        <v>197.36799999999999</v>
      </c>
      <c r="J39" s="32">
        <v>179.46114314991195</v>
      </c>
      <c r="K39" s="2"/>
      <c r="L39" s="2"/>
    </row>
    <row r="40" spans="1:12">
      <c r="A40" s="25" t="s">
        <v>22</v>
      </c>
      <c r="B40" s="29" t="s">
        <v>27</v>
      </c>
      <c r="C40" s="31" t="s">
        <v>33</v>
      </c>
      <c r="D40" s="31" t="s">
        <v>33</v>
      </c>
      <c r="E40" s="31">
        <v>216.84222116758258</v>
      </c>
      <c r="F40" s="31">
        <v>257.62586855217654</v>
      </c>
      <c r="G40" s="31">
        <v>272.43203624820342</v>
      </c>
      <c r="H40" s="31">
        <v>295.23489144278392</v>
      </c>
      <c r="I40" s="31">
        <v>261.91500000000002</v>
      </c>
      <c r="J40" s="32">
        <v>246.41589557306071</v>
      </c>
      <c r="K40" s="2"/>
      <c r="L40" s="2"/>
    </row>
    <row r="41" spans="1:12">
      <c r="A41" s="27" t="s">
        <v>18</v>
      </c>
      <c r="B41" s="30" t="s">
        <v>6</v>
      </c>
      <c r="C41" s="33" t="s">
        <v>33</v>
      </c>
      <c r="D41" s="33" t="s">
        <v>33</v>
      </c>
      <c r="E41" s="33">
        <v>967.18181818181802</v>
      </c>
      <c r="F41" s="33">
        <v>1300.9571581578007</v>
      </c>
      <c r="G41" s="33">
        <v>1348.5045045045044</v>
      </c>
      <c r="H41" s="33">
        <v>1304.1246306741873</v>
      </c>
      <c r="I41" s="33">
        <v>1214.8030000000001</v>
      </c>
      <c r="J41" s="34">
        <v>1344.12</v>
      </c>
      <c r="K41" s="2"/>
      <c r="L41" s="2"/>
    </row>
    <row r="42" spans="1:12">
      <c r="A42" s="2"/>
      <c r="B42" s="2"/>
      <c r="C42" s="2"/>
      <c r="D42" s="31"/>
      <c r="E42" s="31"/>
      <c r="F42" s="31"/>
      <c r="G42" s="31"/>
      <c r="H42" s="2"/>
      <c r="I42" s="2"/>
      <c r="J42" s="2"/>
      <c r="K42" s="2"/>
      <c r="L42" s="2"/>
    </row>
    <row r="43" spans="1:12">
      <c r="A43" s="24" t="s">
        <v>34</v>
      </c>
      <c r="B43" s="38" t="s">
        <v>26</v>
      </c>
      <c r="C43" s="35">
        <v>2013</v>
      </c>
      <c r="D43" s="35">
        <v>2014</v>
      </c>
      <c r="E43" s="35">
        <v>2015</v>
      </c>
      <c r="F43" s="35">
        <v>2016</v>
      </c>
      <c r="G43" s="35">
        <v>2017</v>
      </c>
      <c r="H43" s="35">
        <v>2018</v>
      </c>
      <c r="I43" s="107">
        <v>2019</v>
      </c>
      <c r="J43" s="107">
        <v>2020</v>
      </c>
      <c r="K43" s="2"/>
      <c r="L43" s="2"/>
    </row>
    <row r="44" spans="1:12">
      <c r="A44" s="25" t="s">
        <v>18</v>
      </c>
      <c r="B44" s="29" t="s">
        <v>35</v>
      </c>
      <c r="C44" s="31">
        <v>4.5655856750861092</v>
      </c>
      <c r="D44" s="31">
        <v>3.4563081208692528</v>
      </c>
      <c r="E44" s="31">
        <v>3.5780069522742695</v>
      </c>
      <c r="F44" s="31">
        <v>3.6530119221411566</v>
      </c>
      <c r="G44" s="31">
        <v>3.1523444186600273</v>
      </c>
      <c r="H44" s="31">
        <v>3.2251794986848217</v>
      </c>
      <c r="I44" s="31">
        <v>3.4660000000000002</v>
      </c>
      <c r="J44" s="32">
        <v>3.9216732525763329</v>
      </c>
      <c r="K44" s="2"/>
      <c r="L44" s="2"/>
    </row>
    <row r="45" spans="1:12">
      <c r="A45" s="26" t="s">
        <v>19</v>
      </c>
      <c r="B45" s="29" t="s">
        <v>35</v>
      </c>
      <c r="C45" s="31">
        <v>10.844799022588566</v>
      </c>
      <c r="D45" s="31">
        <v>8.3327965921670284</v>
      </c>
      <c r="E45" s="31">
        <v>8.881463109293021</v>
      </c>
      <c r="F45" s="31">
        <v>8.9496850282761251</v>
      </c>
      <c r="G45" s="31">
        <v>7.6153690559766556</v>
      </c>
      <c r="H45" s="31">
        <v>8.0419848386230974</v>
      </c>
      <c r="I45" s="31">
        <v>8.7100000000000009</v>
      </c>
      <c r="J45" s="32">
        <v>10.401460310373434</v>
      </c>
      <c r="K45" s="2"/>
      <c r="L45" s="2"/>
    </row>
    <row r="46" spans="1:12">
      <c r="A46" s="26" t="s">
        <v>20</v>
      </c>
      <c r="B46" s="29" t="s">
        <v>35</v>
      </c>
      <c r="C46" s="31">
        <v>0.82835868768836995</v>
      </c>
      <c r="D46" s="31">
        <v>0.86867829204367464</v>
      </c>
      <c r="E46" s="31">
        <v>0.72473392211472254</v>
      </c>
      <c r="F46" s="31">
        <v>0.88056768734603064</v>
      </c>
      <c r="G46" s="31">
        <v>0.89779325811414834</v>
      </c>
      <c r="H46" s="31">
        <v>0.88401928791757267</v>
      </c>
      <c r="I46" s="31">
        <v>0.89400000000000002</v>
      </c>
      <c r="J46" s="32">
        <v>0.89122251587435675</v>
      </c>
      <c r="K46" s="2"/>
      <c r="L46" s="2"/>
    </row>
    <row r="47" spans="1:12">
      <c r="A47" s="25" t="s">
        <v>21</v>
      </c>
      <c r="B47" s="29" t="s">
        <v>35</v>
      </c>
      <c r="C47" s="31">
        <v>4.9586097407028924E-3</v>
      </c>
      <c r="D47" s="31">
        <v>4.501656497049502E-3</v>
      </c>
      <c r="E47" s="31">
        <v>3.7522996531269134E-3</v>
      </c>
      <c r="F47" s="31">
        <v>3.958513981768272E-3</v>
      </c>
      <c r="G47" s="31">
        <v>3.5515517224028762E-3</v>
      </c>
      <c r="H47" s="31">
        <v>4.5989076208596295E-3</v>
      </c>
      <c r="I47" s="31">
        <v>2E-3</v>
      </c>
      <c r="J47" s="32">
        <v>3.0783906642740003E-2</v>
      </c>
      <c r="K47" s="2"/>
      <c r="L47" s="2"/>
    </row>
    <row r="48" spans="1:12">
      <c r="A48" s="27" t="s">
        <v>22</v>
      </c>
      <c r="B48" s="30" t="s">
        <v>35</v>
      </c>
      <c r="C48" s="33">
        <v>0.45419793132158559</v>
      </c>
      <c r="D48" s="33">
        <v>0.46187336151298791</v>
      </c>
      <c r="E48" s="33">
        <v>0.46992017266083336</v>
      </c>
      <c r="F48" s="33">
        <v>0.48317765870184343</v>
      </c>
      <c r="G48" s="33">
        <v>0.47198004118265979</v>
      </c>
      <c r="H48" s="33">
        <v>0.4284281213854384</v>
      </c>
      <c r="I48" s="33">
        <v>0.42099999999999999</v>
      </c>
      <c r="J48" s="34">
        <v>0.39782834374773596</v>
      </c>
      <c r="K48" s="2"/>
      <c r="L48" s="2"/>
    </row>
    <row r="49" spans="1:12">
      <c r="A49" s="2"/>
      <c r="B49" s="2"/>
      <c r="C49" s="2"/>
      <c r="D49" s="31"/>
      <c r="E49" s="31"/>
      <c r="F49" s="31"/>
      <c r="G49" s="31"/>
      <c r="H49" s="2"/>
      <c r="I49" s="2"/>
      <c r="J49" s="2"/>
      <c r="K49" s="2"/>
      <c r="L49" s="2"/>
    </row>
    <row r="50" spans="1:12">
      <c r="A50" s="24" t="s">
        <v>37</v>
      </c>
      <c r="B50" s="38" t="s">
        <v>26</v>
      </c>
      <c r="C50" s="35">
        <v>2013</v>
      </c>
      <c r="D50" s="35">
        <v>2014</v>
      </c>
      <c r="E50" s="35">
        <v>2015</v>
      </c>
      <c r="F50" s="35">
        <v>2016</v>
      </c>
      <c r="G50" s="35">
        <v>2017</v>
      </c>
      <c r="H50" s="35">
        <v>2018</v>
      </c>
      <c r="I50" s="107">
        <v>2019</v>
      </c>
      <c r="J50" s="107">
        <v>2020</v>
      </c>
      <c r="K50" s="2"/>
      <c r="L50" s="2"/>
    </row>
    <row r="51" spans="1:12">
      <c r="A51" s="25" t="s">
        <v>18</v>
      </c>
      <c r="B51" s="29" t="s">
        <v>27</v>
      </c>
      <c r="C51" s="31">
        <v>159.46693640137411</v>
      </c>
      <c r="D51" s="31">
        <v>169.42258535114448</v>
      </c>
      <c r="E51" s="31">
        <v>6.9701606259587638</v>
      </c>
      <c r="F51" s="31">
        <v>10.978177092383644</v>
      </c>
      <c r="G51" s="31">
        <v>8.8711012051851057</v>
      </c>
      <c r="H51" s="31">
        <v>5.7792873182136288</v>
      </c>
      <c r="I51" s="31">
        <v>6.1130000000000004</v>
      </c>
      <c r="J51" s="32">
        <v>5.3656317847506534</v>
      </c>
      <c r="K51" s="2"/>
      <c r="L51" s="2"/>
    </row>
    <row r="52" spans="1:12">
      <c r="A52" s="26" t="s">
        <v>19</v>
      </c>
      <c r="B52" s="29" t="s">
        <v>27</v>
      </c>
      <c r="C52" s="31">
        <v>3.6842104108234781</v>
      </c>
      <c r="D52" s="31">
        <v>2.9910373019940617</v>
      </c>
      <c r="E52" s="31">
        <v>0.89593732479025556</v>
      </c>
      <c r="F52" s="31">
        <v>0.45772122834606832</v>
      </c>
      <c r="G52" s="31">
        <v>0.30777438798200402</v>
      </c>
      <c r="H52" s="31">
        <v>0.63199303238665949</v>
      </c>
      <c r="I52" s="31">
        <v>0.63500000000000001</v>
      </c>
      <c r="J52" s="32">
        <v>0.32971861566795813</v>
      </c>
      <c r="K52" s="2"/>
      <c r="L52" s="2"/>
    </row>
    <row r="53" spans="1:12">
      <c r="A53" s="26" t="s">
        <v>20</v>
      </c>
      <c r="B53" s="29" t="s">
        <v>27</v>
      </c>
      <c r="C53" s="31">
        <v>828.23093946415872</v>
      </c>
      <c r="D53" s="31">
        <v>868.42581532735596</v>
      </c>
      <c r="E53" s="31">
        <v>24.578662871771741</v>
      </c>
      <c r="F53" s="31">
        <v>29.497637295231971</v>
      </c>
      <c r="G53" s="31">
        <v>28.951261608786933</v>
      </c>
      <c r="H53" s="31">
        <v>22.238574629167214</v>
      </c>
      <c r="I53" s="31">
        <v>19.495000000000001</v>
      </c>
      <c r="J53" s="32">
        <v>16.714961682535172</v>
      </c>
      <c r="K53" s="2"/>
      <c r="L53" s="2"/>
    </row>
    <row r="54" spans="1:12">
      <c r="A54" s="25" t="s">
        <v>21</v>
      </c>
      <c r="B54" s="29" t="s">
        <v>27</v>
      </c>
      <c r="C54" s="31">
        <v>1.3823513062936708</v>
      </c>
      <c r="D54" s="31">
        <v>1.6313665521070115</v>
      </c>
      <c r="E54" s="31">
        <v>0.88068536623697868</v>
      </c>
      <c r="F54" s="31">
        <v>0.61601207030083305</v>
      </c>
      <c r="G54" s="31">
        <v>0.92501585230671879</v>
      </c>
      <c r="H54" s="31">
        <v>0.91261489312941968</v>
      </c>
      <c r="I54" s="31">
        <v>2.1869999999999998</v>
      </c>
      <c r="J54" s="32">
        <v>26.96031909253951</v>
      </c>
      <c r="K54" s="2"/>
      <c r="L54" s="2"/>
    </row>
    <row r="55" spans="1:12">
      <c r="A55" s="27" t="s">
        <v>22</v>
      </c>
      <c r="B55" s="30" t="s">
        <v>27</v>
      </c>
      <c r="C55" s="33">
        <v>10.205056968646582</v>
      </c>
      <c r="D55" s="33">
        <v>7.7913831270385128</v>
      </c>
      <c r="E55" s="33">
        <v>4.7633853890947337</v>
      </c>
      <c r="F55" s="33">
        <v>12.203391215603281</v>
      </c>
      <c r="G55" s="33">
        <v>7.8097091400918082</v>
      </c>
      <c r="H55" s="33">
        <v>3.440751002955472</v>
      </c>
      <c r="I55" s="33">
        <v>5.1680000000000001</v>
      </c>
      <c r="J55" s="34">
        <v>3.8099860021020526</v>
      </c>
      <c r="K55" s="2"/>
      <c r="L55" s="2"/>
    </row>
    <row r="56" spans="1:12">
      <c r="A56" s="2"/>
      <c r="B56" s="2"/>
      <c r="C56" s="2"/>
      <c r="D56" s="31"/>
      <c r="E56" s="31"/>
      <c r="F56" s="31"/>
      <c r="G56" s="31"/>
      <c r="H56" s="2"/>
      <c r="I56" s="2"/>
      <c r="J56" s="2"/>
      <c r="K56" s="2"/>
      <c r="L56" s="2"/>
    </row>
    <row r="57" spans="1:12">
      <c r="A57" s="24" t="s">
        <v>36</v>
      </c>
      <c r="B57" s="38" t="s">
        <v>26</v>
      </c>
      <c r="C57" s="35">
        <v>2013</v>
      </c>
      <c r="D57" s="35">
        <v>2014</v>
      </c>
      <c r="E57" s="35">
        <v>2015</v>
      </c>
      <c r="F57" s="35">
        <v>2016</v>
      </c>
      <c r="G57" s="35">
        <v>2017</v>
      </c>
      <c r="H57" s="35">
        <v>2018</v>
      </c>
      <c r="I57" s="107">
        <v>2018</v>
      </c>
      <c r="J57" s="107">
        <v>2020</v>
      </c>
      <c r="K57" s="107" t="s">
        <v>28</v>
      </c>
      <c r="L57" s="2"/>
    </row>
    <row r="58" spans="1:12">
      <c r="A58" s="58" t="s">
        <v>18</v>
      </c>
      <c r="B58" s="30" t="s">
        <v>0</v>
      </c>
      <c r="C58" s="39">
        <v>15.255325382857787</v>
      </c>
      <c r="D58" s="39">
        <v>8.5672382375449541</v>
      </c>
      <c r="E58" s="39">
        <v>31.032074637115318</v>
      </c>
      <c r="F58" s="39">
        <v>26.762283150064505</v>
      </c>
      <c r="G58" s="39">
        <v>26.334186102819636</v>
      </c>
      <c r="H58" s="39">
        <v>26.815567228988463</v>
      </c>
      <c r="I58" s="39">
        <v>34.5</v>
      </c>
      <c r="J58" s="276">
        <v>37.6</v>
      </c>
      <c r="K58" s="59">
        <v>40</v>
      </c>
      <c r="L58" s="2"/>
    </row>
    <row r="59" spans="1:12">
      <c r="A59" s="2"/>
      <c r="B59" s="2"/>
      <c r="C59" s="2"/>
      <c r="D59" s="31"/>
      <c r="E59" s="31"/>
      <c r="F59" s="31"/>
      <c r="G59" s="31"/>
      <c r="H59" s="2"/>
      <c r="I59" s="2"/>
      <c r="J59" s="2"/>
      <c r="K59" s="2"/>
      <c r="L59" s="2"/>
    </row>
    <row r="60" spans="1:12">
      <c r="A60" s="40" t="s">
        <v>40</v>
      </c>
      <c r="B60" s="41" t="s">
        <v>26</v>
      </c>
      <c r="C60" s="42">
        <v>2013</v>
      </c>
      <c r="D60" s="42">
        <v>2014</v>
      </c>
      <c r="E60" s="42">
        <v>2015</v>
      </c>
      <c r="F60" s="42">
        <v>2016</v>
      </c>
      <c r="G60" s="42">
        <v>2017</v>
      </c>
      <c r="H60" s="42">
        <v>2018</v>
      </c>
      <c r="I60" s="42">
        <v>2019</v>
      </c>
      <c r="J60" s="42">
        <v>2020</v>
      </c>
      <c r="K60" s="2"/>
      <c r="L60" s="2"/>
    </row>
    <row r="61" spans="1:12">
      <c r="A61" s="60" t="s">
        <v>39</v>
      </c>
      <c r="B61" s="100" t="s">
        <v>38</v>
      </c>
      <c r="C61" s="63">
        <v>4499.5427473</v>
      </c>
      <c r="D61" s="63">
        <v>3960.7587929000001</v>
      </c>
      <c r="E61" s="63">
        <v>3441.4052891400006</v>
      </c>
      <c r="F61" s="63">
        <v>4024.4557539299999</v>
      </c>
      <c r="G61" s="63">
        <v>5089.6162581900007</v>
      </c>
      <c r="H61" s="63">
        <v>8210.0297399999999</v>
      </c>
      <c r="I61" s="63">
        <v>9059.5</v>
      </c>
      <c r="J61" s="64">
        <v>8120.2981600000003</v>
      </c>
      <c r="K61" s="2"/>
      <c r="L61" s="2"/>
    </row>
    <row r="62" spans="1:12">
      <c r="A62" s="61" t="s">
        <v>41</v>
      </c>
      <c r="B62" s="100" t="s">
        <v>38</v>
      </c>
      <c r="C62" s="63">
        <v>2745.3855871900005</v>
      </c>
      <c r="D62" s="63">
        <v>2470.1695099799999</v>
      </c>
      <c r="E62" s="63">
        <v>2393.6230065600002</v>
      </c>
      <c r="F62" s="63">
        <v>3023.7254387600001</v>
      </c>
      <c r="G62" s="63">
        <v>3578.7059357000003</v>
      </c>
      <c r="H62" s="63">
        <v>4587.7070000000003</v>
      </c>
      <c r="I62" s="63">
        <v>4351.8999999999996</v>
      </c>
      <c r="J62" s="64">
        <v>4825.3100000000004</v>
      </c>
      <c r="K62" s="2"/>
      <c r="L62" s="2"/>
    </row>
    <row r="63" spans="1:12">
      <c r="A63" s="61" t="s">
        <v>42</v>
      </c>
      <c r="B63" s="100" t="s">
        <v>38</v>
      </c>
      <c r="C63" s="63">
        <v>1405.6698000000001</v>
      </c>
      <c r="D63" s="63">
        <v>1244.662</v>
      </c>
      <c r="E63" s="63">
        <v>735.58699999999999</v>
      </c>
      <c r="F63" s="63">
        <v>808.85299999999995</v>
      </c>
      <c r="G63" s="63">
        <v>1312.5840000000001</v>
      </c>
      <c r="H63" s="63">
        <v>986.27</v>
      </c>
      <c r="I63" s="63">
        <v>4221.8999999999996</v>
      </c>
      <c r="J63" s="64">
        <v>3120.415</v>
      </c>
      <c r="K63" s="2"/>
      <c r="L63" s="2"/>
    </row>
    <row r="64" spans="1:12">
      <c r="A64" s="60" t="s">
        <v>43</v>
      </c>
      <c r="B64" s="100" t="s">
        <v>38</v>
      </c>
      <c r="C64" s="63">
        <v>348.45686011000004</v>
      </c>
      <c r="D64" s="63">
        <v>245.48728291999998</v>
      </c>
      <c r="E64" s="63">
        <v>311.90328258</v>
      </c>
      <c r="F64" s="63">
        <v>139.49131517000001</v>
      </c>
      <c r="G64" s="63">
        <v>149.49832248999999</v>
      </c>
      <c r="H64" s="63">
        <v>156.34299999999999</v>
      </c>
      <c r="I64" s="63">
        <v>165.3</v>
      </c>
      <c r="J64" s="64">
        <v>174.55315999999996</v>
      </c>
      <c r="K64" s="2"/>
      <c r="L64" s="2"/>
    </row>
    <row r="65" spans="1:12">
      <c r="A65" s="61" t="s">
        <v>155</v>
      </c>
      <c r="B65" s="100" t="s">
        <v>38</v>
      </c>
      <c r="C65" s="63">
        <v>3.0499999999999999E-2</v>
      </c>
      <c r="D65" s="63">
        <v>0.44</v>
      </c>
      <c r="E65" s="63">
        <v>0.29199999999999998</v>
      </c>
      <c r="F65" s="63">
        <v>0.19500000000000001</v>
      </c>
      <c r="G65" s="63">
        <v>0.46</v>
      </c>
      <c r="H65" s="63">
        <v>0.63300000000000001</v>
      </c>
      <c r="I65" s="63" t="s">
        <v>154</v>
      </c>
      <c r="J65" s="123">
        <v>0.02</v>
      </c>
      <c r="K65" s="2"/>
      <c r="L65" s="2"/>
    </row>
    <row r="66" spans="1:12">
      <c r="A66" s="62" t="s">
        <v>44</v>
      </c>
      <c r="B66" s="94" t="s">
        <v>38</v>
      </c>
      <c r="C66" s="65" t="s">
        <v>33</v>
      </c>
      <c r="D66" s="65" t="s">
        <v>33</v>
      </c>
      <c r="E66" s="65" t="s">
        <v>33</v>
      </c>
      <c r="F66" s="65">
        <v>52.191000000000003</v>
      </c>
      <c r="G66" s="65">
        <v>48.368000000000002</v>
      </c>
      <c r="H66" s="65">
        <v>2479.0767400000004</v>
      </c>
      <c r="I66" s="65">
        <v>317.5</v>
      </c>
      <c r="J66" s="66" t="s">
        <v>219</v>
      </c>
    </row>
    <row r="68" spans="1:12">
      <c r="A68" s="40" t="s">
        <v>45</v>
      </c>
      <c r="B68" s="41" t="s">
        <v>26</v>
      </c>
      <c r="C68" s="42">
        <v>2013</v>
      </c>
      <c r="D68" s="42">
        <v>2014</v>
      </c>
      <c r="E68" s="42">
        <v>2015</v>
      </c>
      <c r="F68" s="42">
        <v>2016</v>
      </c>
      <c r="G68" s="42">
        <v>2017</v>
      </c>
      <c r="H68" s="42">
        <v>2018</v>
      </c>
      <c r="I68" s="42">
        <v>2019</v>
      </c>
      <c r="J68" s="42">
        <v>2020</v>
      </c>
      <c r="K68" s="2"/>
      <c r="L68" s="2"/>
    </row>
    <row r="69" spans="1:12">
      <c r="A69" s="26" t="s">
        <v>46</v>
      </c>
      <c r="B69" s="51" t="s">
        <v>57</v>
      </c>
      <c r="C69" s="44">
        <v>4372.5321619999995</v>
      </c>
      <c r="D69" s="44">
        <v>4518.1393589999998</v>
      </c>
      <c r="E69" s="44">
        <v>5080.8265190000002</v>
      </c>
      <c r="F69" s="44">
        <v>5591.5917499999996</v>
      </c>
      <c r="G69" s="44">
        <v>6251.5823550000005</v>
      </c>
      <c r="H69" s="44">
        <v>6536.0211339999996</v>
      </c>
      <c r="I69" s="44">
        <v>6899.5893500000002</v>
      </c>
      <c r="J69" s="46">
        <v>7217.4462370000001</v>
      </c>
    </row>
    <row r="70" spans="1:12">
      <c r="A70" s="26" t="s">
        <v>47</v>
      </c>
      <c r="B70" s="118" t="s">
        <v>57</v>
      </c>
      <c r="C70" s="44">
        <v>247.24600000000001</v>
      </c>
      <c r="D70" s="44">
        <v>252.08600000000001</v>
      </c>
      <c r="E70" s="44">
        <v>272.19780000000003</v>
      </c>
      <c r="F70" s="44">
        <v>338.63309100000004</v>
      </c>
      <c r="G70" s="44">
        <v>354.20138000000003</v>
      </c>
      <c r="H70" s="44">
        <v>356.11993999999993</v>
      </c>
      <c r="I70" s="44">
        <v>367.70609999999994</v>
      </c>
      <c r="J70" s="46">
        <v>392.13870000000003</v>
      </c>
    </row>
    <row r="71" spans="1:12">
      <c r="A71" s="26" t="s">
        <v>48</v>
      </c>
      <c r="B71" s="118" t="s">
        <v>57</v>
      </c>
      <c r="C71" s="44">
        <v>1048.1130000000001</v>
      </c>
      <c r="D71" s="44">
        <v>1180.258</v>
      </c>
      <c r="E71" s="44">
        <v>1111.586</v>
      </c>
      <c r="F71" s="44">
        <v>1198.6479999999999</v>
      </c>
      <c r="G71" s="44">
        <v>1454.866</v>
      </c>
      <c r="H71" s="44">
        <v>1865.9880000000001</v>
      </c>
      <c r="I71" s="44">
        <v>1930.085</v>
      </c>
      <c r="J71" s="46">
        <v>1970.3330000000001</v>
      </c>
    </row>
    <row r="72" spans="1:12">
      <c r="A72" s="26" t="s">
        <v>49</v>
      </c>
      <c r="B72" s="118" t="s">
        <v>57</v>
      </c>
      <c r="C72" s="44">
        <v>323.89350000000002</v>
      </c>
      <c r="D72" s="44">
        <v>326.86192999999992</v>
      </c>
      <c r="E72" s="44">
        <v>367.82274000000001</v>
      </c>
      <c r="F72" s="44">
        <v>368.4606</v>
      </c>
      <c r="G72" s="44">
        <v>400.65863000000002</v>
      </c>
      <c r="H72" s="44">
        <v>429.34920000000005</v>
      </c>
      <c r="I72" s="44">
        <v>457.27226999999999</v>
      </c>
      <c r="J72" s="46">
        <v>556.43480999999997</v>
      </c>
    </row>
    <row r="73" spans="1:12">
      <c r="A73" s="26" t="s">
        <v>50</v>
      </c>
      <c r="B73" s="118" t="s">
        <v>57</v>
      </c>
      <c r="C73" s="44">
        <v>406.49074999999999</v>
      </c>
      <c r="D73" s="44">
        <v>411.90854999999999</v>
      </c>
      <c r="E73" s="44">
        <v>455.32614999999998</v>
      </c>
      <c r="F73" s="44">
        <v>458.86559999999997</v>
      </c>
      <c r="G73" s="44">
        <v>496.43744999999996</v>
      </c>
      <c r="H73" s="44">
        <v>532.61374999999998</v>
      </c>
      <c r="I73" s="44">
        <v>566.41985</v>
      </c>
      <c r="J73" s="46">
        <v>691.53703000000007</v>
      </c>
    </row>
    <row r="74" spans="1:12">
      <c r="A74" s="26" t="s">
        <v>51</v>
      </c>
      <c r="B74" s="118" t="s">
        <v>57</v>
      </c>
      <c r="C74" s="44">
        <v>903.10739999999987</v>
      </c>
      <c r="D74" s="44">
        <v>965.92969999999991</v>
      </c>
      <c r="E74" s="44">
        <v>978.12216999999987</v>
      </c>
      <c r="F74" s="44">
        <v>1036.1190100000001</v>
      </c>
      <c r="G74" s="44">
        <v>1238.7735799999998</v>
      </c>
      <c r="H74" s="44">
        <v>1589.63777</v>
      </c>
      <c r="I74" s="44">
        <v>1684.1218600000002</v>
      </c>
      <c r="J74" s="46">
        <v>1679.0743799999998</v>
      </c>
    </row>
    <row r="75" spans="1:12">
      <c r="A75" s="26" t="s">
        <v>52</v>
      </c>
      <c r="B75" s="118" t="s">
        <v>57</v>
      </c>
      <c r="C75" s="44">
        <v>4338.8249210000004</v>
      </c>
      <c r="D75" s="44">
        <v>4462.0870000000004</v>
      </c>
      <c r="E75" s="44">
        <v>4712.1419999999998</v>
      </c>
      <c r="F75" s="44">
        <v>4926.1260000000002</v>
      </c>
      <c r="G75" s="44">
        <v>5437.8290900000002</v>
      </c>
      <c r="H75" s="44">
        <v>5731.6799927500006</v>
      </c>
      <c r="I75" s="44">
        <v>6123.0059099999999</v>
      </c>
      <c r="J75" s="46">
        <v>6815.6451899999993</v>
      </c>
    </row>
    <row r="76" spans="1:12">
      <c r="A76" s="26" t="s">
        <v>53</v>
      </c>
      <c r="B76" s="118" t="s">
        <v>57</v>
      </c>
      <c r="C76" s="44">
        <v>1765.0146000000002</v>
      </c>
      <c r="D76" s="44">
        <v>1933.8893</v>
      </c>
      <c r="E76" s="44">
        <v>2114.2547713556883</v>
      </c>
      <c r="F76" s="44">
        <v>2259.5249461099997</v>
      </c>
      <c r="G76" s="44">
        <v>2469.1977529999999</v>
      </c>
      <c r="H76" s="44">
        <v>2546.2440999999999</v>
      </c>
      <c r="I76" s="44">
        <v>2684.0147000000002</v>
      </c>
      <c r="J76" s="46">
        <v>2716.7742699999999</v>
      </c>
    </row>
    <row r="77" spans="1:12">
      <c r="A77" s="26" t="s">
        <v>54</v>
      </c>
      <c r="B77" s="118" t="s">
        <v>57</v>
      </c>
      <c r="C77" s="44">
        <v>27.108000000000001</v>
      </c>
      <c r="D77" s="44">
        <v>27.385999999999999</v>
      </c>
      <c r="E77" s="44">
        <v>36.082900000000002</v>
      </c>
      <c r="F77" s="44">
        <v>46.024999999999999</v>
      </c>
      <c r="G77" s="44">
        <v>47.000500000000002</v>
      </c>
      <c r="H77" s="44">
        <v>48.287999999999997</v>
      </c>
      <c r="I77" s="44">
        <v>56.695999999999998</v>
      </c>
      <c r="J77" s="46">
        <v>57.618000000000002</v>
      </c>
    </row>
    <row r="78" spans="1:12">
      <c r="A78" s="26" t="s">
        <v>55</v>
      </c>
      <c r="B78" s="118" t="s">
        <v>57</v>
      </c>
      <c r="C78" s="44">
        <v>8658.5849999999991</v>
      </c>
      <c r="D78" s="44">
        <v>8407.5130000000008</v>
      </c>
      <c r="E78" s="44">
        <v>8769.4002500000006</v>
      </c>
      <c r="F78" s="44">
        <v>9441.1220900000008</v>
      </c>
      <c r="G78" s="44">
        <v>10493.290300000001</v>
      </c>
      <c r="H78" s="44">
        <v>10994.01994</v>
      </c>
      <c r="I78" s="44">
        <v>11632.03775</v>
      </c>
      <c r="J78" s="46">
        <v>11638.93944</v>
      </c>
    </row>
    <row r="79" spans="1:12">
      <c r="A79" s="26" t="s">
        <v>56</v>
      </c>
      <c r="B79" s="51" t="s">
        <v>57</v>
      </c>
      <c r="C79" s="44">
        <v>123.178127</v>
      </c>
      <c r="D79" s="44">
        <v>129.18092999999999</v>
      </c>
      <c r="E79" s="44">
        <v>123.49</v>
      </c>
      <c r="F79" s="44">
        <v>92.906999999999996</v>
      </c>
      <c r="G79" s="44">
        <v>72.912000000000006</v>
      </c>
      <c r="H79" s="44">
        <v>104.79389999999999</v>
      </c>
      <c r="I79" s="44">
        <v>98.919629999999998</v>
      </c>
      <c r="J79" s="46">
        <v>95.041999999999987</v>
      </c>
    </row>
    <row r="80" spans="1:12">
      <c r="A80" s="48" t="s">
        <v>58</v>
      </c>
      <c r="B80" s="52" t="s">
        <v>57</v>
      </c>
      <c r="C80" s="49">
        <v>22214.093459999996</v>
      </c>
      <c r="D80" s="49">
        <v>22615.239769000003</v>
      </c>
      <c r="E80" s="49">
        <v>24021.251300355692</v>
      </c>
      <c r="F80" s="49">
        <v>25758.023087109999</v>
      </c>
      <c r="G80" s="49">
        <v>28716.749037999998</v>
      </c>
      <c r="H80" s="49">
        <v>30734.755726749998</v>
      </c>
      <c r="I80" s="49">
        <f>SUM(I69:I79)</f>
        <v>32499.868419999999</v>
      </c>
      <c r="J80" s="50">
        <f>SUM(J69:J79)</f>
        <v>33830.983056999998</v>
      </c>
    </row>
    <row r="81" spans="1:12">
      <c r="A81" s="26"/>
      <c r="B81" s="53"/>
      <c r="C81" s="45"/>
      <c r="D81" s="45"/>
      <c r="E81" s="45"/>
      <c r="F81" s="45"/>
      <c r="G81" s="45"/>
      <c r="H81" s="45"/>
      <c r="I81" s="45"/>
      <c r="J81" s="47"/>
    </row>
    <row r="82" spans="1:12">
      <c r="A82" s="26" t="s">
        <v>19</v>
      </c>
      <c r="B82" s="51" t="s">
        <v>57</v>
      </c>
      <c r="C82" s="44">
        <v>8658.5849999999991</v>
      </c>
      <c r="D82" s="44">
        <v>8407.5130000000008</v>
      </c>
      <c r="E82" s="44">
        <v>8769.4002500000006</v>
      </c>
      <c r="F82" s="44">
        <v>9441.1220900000008</v>
      </c>
      <c r="G82" s="44">
        <v>10493.290300000001</v>
      </c>
      <c r="H82" s="44">
        <v>10994.01994</v>
      </c>
      <c r="I82" s="44">
        <v>11632.03775</v>
      </c>
      <c r="J82" s="46">
        <v>11639</v>
      </c>
    </row>
    <row r="83" spans="1:12">
      <c r="A83" s="26" t="s">
        <v>20</v>
      </c>
      <c r="B83" s="51" t="s">
        <v>57</v>
      </c>
      <c r="C83" s="44">
        <v>4126.6875</v>
      </c>
      <c r="D83" s="44">
        <v>4297.3230000000003</v>
      </c>
      <c r="E83" s="44">
        <v>4491.1915500000005</v>
      </c>
      <c r="F83" s="44">
        <v>4925.7781409999998</v>
      </c>
      <c r="G83" s="44">
        <v>5348.55303</v>
      </c>
      <c r="H83" s="44">
        <v>5553.99719</v>
      </c>
      <c r="I83" s="44">
        <v>5950.5210999999999</v>
      </c>
      <c r="J83" s="46">
        <v>6103</v>
      </c>
    </row>
    <row r="84" spans="1:12">
      <c r="A84" s="26" t="s">
        <v>21</v>
      </c>
      <c r="B84" s="51" t="s">
        <v>57</v>
      </c>
      <c r="C84" s="44">
        <v>403.33886000000001</v>
      </c>
      <c r="D84" s="44">
        <v>444.28089999999997</v>
      </c>
      <c r="E84" s="44">
        <v>533.00647200000003</v>
      </c>
      <c r="F84" s="44">
        <v>505.2401000000001</v>
      </c>
      <c r="G84" s="44">
        <v>563.13413299999991</v>
      </c>
      <c r="H84" s="44">
        <v>652.32882400000005</v>
      </c>
      <c r="I84" s="44">
        <v>614.71233000000007</v>
      </c>
      <c r="J84" s="46">
        <v>621</v>
      </c>
    </row>
    <row r="85" spans="1:12">
      <c r="A85" s="26" t="s">
        <v>22</v>
      </c>
      <c r="B85" s="51" t="s">
        <v>57</v>
      </c>
      <c r="C85" s="44">
        <v>9025.4820999999993</v>
      </c>
      <c r="D85" s="44">
        <v>9466.1228690000007</v>
      </c>
      <c r="E85" s="44">
        <v>10227.653028355688</v>
      </c>
      <c r="F85" s="44">
        <v>10885.882756109999</v>
      </c>
      <c r="G85" s="44">
        <v>12311.771574999999</v>
      </c>
      <c r="H85" s="44">
        <v>13534.409772749999</v>
      </c>
      <c r="I85" s="44">
        <v>14302.597240000001</v>
      </c>
      <c r="J85" s="46">
        <v>15468</v>
      </c>
    </row>
    <row r="86" spans="1:12">
      <c r="A86" s="48" t="s">
        <v>58</v>
      </c>
      <c r="B86" s="52" t="s">
        <v>57</v>
      </c>
      <c r="C86" s="49">
        <v>22214.09346</v>
      </c>
      <c r="D86" s="49">
        <v>22615.239769</v>
      </c>
      <c r="E86" s="49">
        <v>24021.251300355689</v>
      </c>
      <c r="F86" s="49">
        <v>25758.023087110003</v>
      </c>
      <c r="G86" s="49">
        <v>28716.749038000002</v>
      </c>
      <c r="H86" s="49">
        <v>30734.755726750001</v>
      </c>
      <c r="I86" s="49">
        <f>SUM(I82:I85)</f>
        <v>32499.868419999999</v>
      </c>
      <c r="J86" s="50">
        <f>SUM(J82:J85)</f>
        <v>33831</v>
      </c>
    </row>
    <row r="88" spans="1:12">
      <c r="A88" s="40" t="s">
        <v>59</v>
      </c>
      <c r="B88" s="41" t="s">
        <v>26</v>
      </c>
      <c r="C88" s="42">
        <v>2013</v>
      </c>
      <c r="D88" s="42">
        <v>2014</v>
      </c>
      <c r="E88" s="42">
        <v>2015</v>
      </c>
      <c r="F88" s="42">
        <v>2016</v>
      </c>
      <c r="G88" s="42">
        <v>2017</v>
      </c>
      <c r="H88" s="42">
        <v>2018</v>
      </c>
      <c r="I88" s="42">
        <v>2019</v>
      </c>
      <c r="J88" s="42">
        <v>2020</v>
      </c>
      <c r="K88" s="2"/>
      <c r="L88" s="2"/>
    </row>
    <row r="89" spans="1:12">
      <c r="A89" s="27" t="s">
        <v>60</v>
      </c>
      <c r="B89" s="54" t="s">
        <v>5</v>
      </c>
      <c r="C89" s="55">
        <v>3283</v>
      </c>
      <c r="D89" s="55">
        <v>3205</v>
      </c>
      <c r="E89" s="55">
        <v>3113</v>
      </c>
      <c r="F89" s="55">
        <v>2801</v>
      </c>
      <c r="G89" s="55">
        <v>3108</v>
      </c>
      <c r="H89" s="55">
        <v>3723</v>
      </c>
      <c r="I89" s="55">
        <v>3833</v>
      </c>
      <c r="J89" s="56">
        <v>3526</v>
      </c>
    </row>
    <row r="91" spans="1:12" ht="33" customHeight="1">
      <c r="A91" s="320" t="s">
        <v>166</v>
      </c>
      <c r="B91" s="320"/>
      <c r="C91" s="320"/>
      <c r="D91" s="320"/>
      <c r="E91" s="320"/>
      <c r="F91" s="320"/>
      <c r="G91" s="320"/>
      <c r="H91" s="320"/>
      <c r="I91" s="320"/>
      <c r="J91" s="274"/>
    </row>
    <row r="92" spans="1:12" ht="45.6" customHeight="1">
      <c r="A92" s="320" t="s">
        <v>167</v>
      </c>
      <c r="B92" s="320"/>
      <c r="C92" s="320"/>
      <c r="D92" s="320"/>
      <c r="E92" s="320"/>
      <c r="F92" s="320"/>
      <c r="G92" s="320"/>
      <c r="H92" s="320"/>
      <c r="I92" s="320"/>
      <c r="J92" s="274"/>
    </row>
    <row r="93" spans="1:12">
      <c r="A93" s="138"/>
      <c r="B93" s="138"/>
      <c r="C93" s="138"/>
      <c r="D93" s="138"/>
      <c r="E93" s="138"/>
      <c r="F93" s="138"/>
      <c r="G93" s="138"/>
      <c r="H93" s="138"/>
      <c r="I93" s="138"/>
      <c r="J93" s="274"/>
    </row>
    <row r="94" spans="1:12">
      <c r="A94" t="s">
        <v>163</v>
      </c>
    </row>
    <row r="96" spans="1:12">
      <c r="A96" t="s">
        <v>234</v>
      </c>
    </row>
    <row r="98" spans="1:6">
      <c r="A98" t="s">
        <v>221</v>
      </c>
    </row>
    <row r="100" spans="1:6">
      <c r="A100" s="270"/>
      <c r="B100" s="270"/>
      <c r="C100" s="270"/>
      <c r="D100" s="270"/>
      <c r="E100" s="270"/>
      <c r="F100" s="270"/>
    </row>
  </sheetData>
  <mergeCells count="2">
    <mergeCell ref="A91:I91"/>
    <mergeCell ref="A92:I92"/>
  </mergeCells>
  <pageMargins left="0.25" right="0.25" top="0.75" bottom="0.75" header="0.3" footer="0.3"/>
  <pageSetup paperSize="9" scale="5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186"/>
  <sheetViews>
    <sheetView topLeftCell="A61" zoomScaleNormal="100" workbookViewId="0">
      <selection activeCell="N77" sqref="N77"/>
    </sheetView>
  </sheetViews>
  <sheetFormatPr defaultRowHeight="14.4"/>
  <cols>
    <col min="1" max="1" width="63.88671875" customWidth="1"/>
    <col min="2" max="2" width="15.5546875" customWidth="1"/>
    <col min="3" max="4" width="13.88671875" customWidth="1"/>
    <col min="5" max="5" width="15.44140625" customWidth="1"/>
    <col min="6" max="6" width="13.44140625" customWidth="1"/>
    <col min="7" max="7" width="13.6640625" customWidth="1"/>
    <col min="8" max="9" width="14.33203125" customWidth="1"/>
    <col min="10" max="10" width="15.109375" customWidth="1"/>
    <col min="11" max="11" width="13.88671875" customWidth="1"/>
    <col min="12" max="12" width="13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.6">
      <c r="A2" s="68" t="s">
        <v>215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>
      <c r="A5" s="266" t="s">
        <v>168</v>
      </c>
      <c r="B5" s="267" t="s">
        <v>169</v>
      </c>
      <c r="C5" s="267">
        <v>2011</v>
      </c>
      <c r="D5" s="267">
        <v>2012</v>
      </c>
      <c r="E5" s="267">
        <v>2013</v>
      </c>
      <c r="F5" s="267">
        <v>2014</v>
      </c>
      <c r="G5" s="267">
        <v>2015</v>
      </c>
      <c r="H5" s="267">
        <v>2016</v>
      </c>
      <c r="I5" s="267">
        <v>2017</v>
      </c>
      <c r="J5" s="267">
        <v>2018</v>
      </c>
      <c r="K5" s="267">
        <v>2019</v>
      </c>
      <c r="L5" s="267">
        <v>2020</v>
      </c>
    </row>
    <row r="6" spans="1:12">
      <c r="A6" s="139"/>
      <c r="B6" s="140"/>
      <c r="C6" s="141"/>
      <c r="D6" s="141"/>
      <c r="E6" s="141"/>
      <c r="F6" s="141"/>
      <c r="G6" s="141"/>
      <c r="H6" s="141"/>
      <c r="I6" s="142"/>
      <c r="J6" s="143"/>
    </row>
    <row r="7" spans="1:12">
      <c r="A7" s="271" t="s">
        <v>17</v>
      </c>
      <c r="B7" s="271"/>
      <c r="C7" s="333" t="s">
        <v>170</v>
      </c>
      <c r="D7" s="334"/>
      <c r="E7" s="334"/>
      <c r="F7" s="334"/>
      <c r="G7" s="334"/>
      <c r="H7" s="334"/>
      <c r="I7" s="334"/>
      <c r="J7" s="334"/>
      <c r="K7" s="334"/>
      <c r="L7" s="335"/>
    </row>
    <row r="8" spans="1:12">
      <c r="A8" s="146" t="s">
        <v>171</v>
      </c>
      <c r="B8" s="147" t="s">
        <v>57</v>
      </c>
      <c r="C8" s="148">
        <f t="shared" ref="C8:L15" si="0">C17+C26+C35+C44</f>
        <v>29.200256</v>
      </c>
      <c r="D8" s="148">
        <f t="shared" si="0"/>
        <v>28.154975</v>
      </c>
      <c r="E8" s="148">
        <f t="shared" si="0"/>
        <v>29.629656999999995</v>
      </c>
      <c r="F8" s="148">
        <f t="shared" si="0"/>
        <v>27.436304</v>
      </c>
      <c r="G8" s="148">
        <f t="shared" si="0"/>
        <v>28.95093</v>
      </c>
      <c r="H8" s="148">
        <f t="shared" si="0"/>
        <v>29.990365000000004</v>
      </c>
      <c r="I8" s="148">
        <f t="shared" si="0"/>
        <v>32.483587</v>
      </c>
      <c r="J8" s="148">
        <f t="shared" si="0"/>
        <v>32.225088</v>
      </c>
      <c r="K8" s="148">
        <f t="shared" si="0"/>
        <v>28.874855999999998</v>
      </c>
      <c r="L8" s="148">
        <f t="shared" si="0"/>
        <v>30.188962000000004</v>
      </c>
    </row>
    <row r="9" spans="1:12">
      <c r="A9" s="149" t="s">
        <v>172</v>
      </c>
      <c r="B9" s="147" t="s">
        <v>57</v>
      </c>
      <c r="C9" s="150">
        <f t="shared" si="0"/>
        <v>13.222005000000001</v>
      </c>
      <c r="D9" s="150">
        <f t="shared" si="0"/>
        <v>12.319452000000002</v>
      </c>
      <c r="E9" s="150">
        <f t="shared" si="0"/>
        <v>13.081559</v>
      </c>
      <c r="F9" s="150">
        <f t="shared" si="0"/>
        <v>9.1520869999999999</v>
      </c>
      <c r="G9" s="150">
        <f t="shared" si="0"/>
        <v>10.344406000000001</v>
      </c>
      <c r="H9" s="150">
        <f t="shared" si="0"/>
        <v>10.655021</v>
      </c>
      <c r="I9" s="150">
        <f t="shared" si="0"/>
        <v>11.438501</v>
      </c>
      <c r="J9" s="150">
        <f t="shared" si="0"/>
        <v>11.360522999999999</v>
      </c>
      <c r="K9" s="150">
        <f t="shared" si="0"/>
        <v>11.211059000000001</v>
      </c>
      <c r="L9" s="150">
        <f t="shared" si="0"/>
        <v>11.084041000000001</v>
      </c>
    </row>
    <row r="10" spans="1:12">
      <c r="A10" s="149" t="s">
        <v>25</v>
      </c>
      <c r="B10" s="147" t="s">
        <v>57</v>
      </c>
      <c r="C10" s="151">
        <f t="shared" si="0"/>
        <v>5.3370069999999998</v>
      </c>
      <c r="D10" s="151">
        <f t="shared" si="0"/>
        <v>4.5555250000000012</v>
      </c>
      <c r="E10" s="151">
        <f t="shared" si="0"/>
        <v>4.9561709999999994</v>
      </c>
      <c r="F10" s="151">
        <f t="shared" si="0"/>
        <v>4.8032259999999996</v>
      </c>
      <c r="G10" s="151">
        <f t="shared" si="0"/>
        <v>5.7387319999999997</v>
      </c>
      <c r="H10" s="151">
        <f t="shared" si="0"/>
        <v>6.0802840000000007</v>
      </c>
      <c r="I10" s="151">
        <f t="shared" si="0"/>
        <v>6.1917239999999998</v>
      </c>
      <c r="J10" s="151">
        <f t="shared" si="0"/>
        <v>5.8015119999999998</v>
      </c>
      <c r="K10" s="151">
        <f t="shared" si="0"/>
        <v>4.7178840000000006</v>
      </c>
      <c r="L10" s="151">
        <f t="shared" si="0"/>
        <v>4.5821010000000006</v>
      </c>
    </row>
    <row r="11" spans="1:12">
      <c r="A11" s="152" t="s">
        <v>173</v>
      </c>
      <c r="B11" s="147" t="s">
        <v>57</v>
      </c>
      <c r="C11" s="151">
        <f t="shared" si="0"/>
        <v>2.2536239999999998</v>
      </c>
      <c r="D11" s="151">
        <f t="shared" si="0"/>
        <v>2.35324</v>
      </c>
      <c r="E11" s="151">
        <f t="shared" si="0"/>
        <v>3.0202809999999998</v>
      </c>
      <c r="F11" s="151">
        <f t="shared" si="0"/>
        <v>3.7805879999999998</v>
      </c>
      <c r="G11" s="151">
        <f t="shared" si="0"/>
        <v>2.7326199999999998</v>
      </c>
      <c r="H11" s="151">
        <f t="shared" si="0"/>
        <v>2.6800140000000003</v>
      </c>
      <c r="I11" s="151">
        <f t="shared" si="0"/>
        <v>2.5960909999999999</v>
      </c>
      <c r="J11" s="151">
        <f t="shared" si="0"/>
        <v>2.9153920000000002</v>
      </c>
      <c r="K11" s="151">
        <f t="shared" si="0"/>
        <v>2.8099699999999999</v>
      </c>
      <c r="L11" s="151">
        <f t="shared" si="0"/>
        <v>3.2469130000000002</v>
      </c>
    </row>
    <row r="12" spans="1:12">
      <c r="A12" s="149" t="s">
        <v>174</v>
      </c>
      <c r="B12" s="147" t="s">
        <v>57</v>
      </c>
      <c r="C12" s="151">
        <f t="shared" si="0"/>
        <v>5.8953009999999999</v>
      </c>
      <c r="D12" s="151">
        <f t="shared" si="0"/>
        <v>6.2629600000000005</v>
      </c>
      <c r="E12" s="151">
        <f t="shared" si="0"/>
        <v>5.7265409999999992</v>
      </c>
      <c r="F12" s="151">
        <f t="shared" si="0"/>
        <v>7.520001999999999</v>
      </c>
      <c r="G12" s="151">
        <f t="shared" si="0"/>
        <v>7.4542710000000003</v>
      </c>
      <c r="H12" s="151">
        <f t="shared" si="0"/>
        <v>7.5474740000000011</v>
      </c>
      <c r="I12" s="151">
        <f t="shared" si="0"/>
        <v>7.9379860000000004</v>
      </c>
      <c r="J12" s="151">
        <f t="shared" si="0"/>
        <v>7.8287779999999998</v>
      </c>
      <c r="K12" s="151">
        <f t="shared" si="0"/>
        <v>6.1116620000000008</v>
      </c>
      <c r="L12" s="151">
        <f t="shared" si="0"/>
        <v>6.9571260000000006</v>
      </c>
    </row>
    <row r="13" spans="1:12">
      <c r="A13" s="149" t="s">
        <v>175</v>
      </c>
      <c r="B13" s="147" t="s">
        <v>57</v>
      </c>
      <c r="C13" s="151">
        <f>C22+C31+C40+C49</f>
        <v>0.10402099999999999</v>
      </c>
      <c r="D13" s="151">
        <f t="shared" si="0"/>
        <v>4.6696999999999995E-2</v>
      </c>
      <c r="E13" s="151">
        <f t="shared" si="0"/>
        <v>0.10635700000000001</v>
      </c>
      <c r="F13" s="151">
        <f t="shared" si="0"/>
        <v>5.5682999999999996E-2</v>
      </c>
      <c r="G13" s="151">
        <f t="shared" si="0"/>
        <v>1.864E-3</v>
      </c>
      <c r="H13" s="151">
        <f t="shared" si="0"/>
        <v>1.6180000000000001E-3</v>
      </c>
      <c r="I13" s="151">
        <f t="shared" si="0"/>
        <v>3.5950000000000001E-3</v>
      </c>
      <c r="J13" s="151">
        <f t="shared" si="0"/>
        <v>0.14779</v>
      </c>
      <c r="K13" s="151">
        <f t="shared" si="0"/>
        <v>4.0406999999999998E-2</v>
      </c>
      <c r="L13" s="151">
        <f t="shared" si="0"/>
        <v>4.8690000000000004E-2</v>
      </c>
    </row>
    <row r="14" spans="1:12">
      <c r="A14" s="149" t="s">
        <v>176</v>
      </c>
      <c r="B14" s="147" t="s">
        <v>57</v>
      </c>
      <c r="C14" s="151">
        <f>C23+C32+C41+C50</f>
        <v>0.35671700000000001</v>
      </c>
      <c r="D14" s="151">
        <f t="shared" si="0"/>
        <v>0.31951200000000002</v>
      </c>
      <c r="E14" s="151">
        <f t="shared" si="0"/>
        <v>0.38033499999999998</v>
      </c>
      <c r="F14" s="151">
        <f t="shared" si="0"/>
        <v>0.37029800000000002</v>
      </c>
      <c r="G14" s="151">
        <f t="shared" si="0"/>
        <v>0.37856599999999996</v>
      </c>
      <c r="H14" s="151">
        <f t="shared" si="0"/>
        <v>0.37509500000000001</v>
      </c>
      <c r="I14" s="151">
        <f t="shared" si="0"/>
        <v>0.71553400000000011</v>
      </c>
      <c r="J14" s="151">
        <f t="shared" si="0"/>
        <v>0.37131000000000003</v>
      </c>
      <c r="K14" s="151">
        <f t="shared" si="0"/>
        <v>0.36235499999999998</v>
      </c>
      <c r="L14" s="151">
        <f t="shared" si="0"/>
        <v>0.36583300000000002</v>
      </c>
    </row>
    <row r="15" spans="1:12">
      <c r="A15" s="149" t="s">
        <v>177</v>
      </c>
      <c r="B15" s="147" t="s">
        <v>57</v>
      </c>
      <c r="C15" s="151">
        <f t="shared" ref="C15:K15" si="1">C24+C33+C42+C51</f>
        <v>2.0315810000000001</v>
      </c>
      <c r="D15" s="151">
        <f t="shared" si="1"/>
        <v>2.2975890000000003</v>
      </c>
      <c r="E15" s="151">
        <f t="shared" si="1"/>
        <v>2.3584130000000001</v>
      </c>
      <c r="F15" s="151">
        <f t="shared" si="1"/>
        <v>1.7544200000000001</v>
      </c>
      <c r="G15" s="151">
        <f t="shared" si="1"/>
        <v>2.3004709999999995</v>
      </c>
      <c r="H15" s="151">
        <f t="shared" si="1"/>
        <v>2.6508590000000005</v>
      </c>
      <c r="I15" s="151">
        <f t="shared" si="1"/>
        <v>3.6001559999999997</v>
      </c>
      <c r="J15" s="151">
        <f t="shared" si="1"/>
        <v>3.7997829999999997</v>
      </c>
      <c r="K15" s="151">
        <f t="shared" si="1"/>
        <v>3.6215190000000002</v>
      </c>
      <c r="L15" s="151">
        <f t="shared" si="0"/>
        <v>3.904258</v>
      </c>
    </row>
    <row r="16" spans="1:12">
      <c r="A16" s="153"/>
      <c r="B16" s="154"/>
      <c r="C16" s="324" t="s">
        <v>178</v>
      </c>
      <c r="D16" s="325"/>
      <c r="E16" s="325"/>
      <c r="F16" s="325"/>
      <c r="G16" s="325"/>
      <c r="H16" s="325"/>
      <c r="I16" s="325"/>
      <c r="J16" s="325"/>
      <c r="K16" s="325"/>
      <c r="L16" s="326"/>
    </row>
    <row r="17" spans="1:12">
      <c r="A17" s="146" t="s">
        <v>171</v>
      </c>
      <c r="B17" s="147" t="s">
        <v>57</v>
      </c>
      <c r="C17" s="148">
        <f>SUM(C18:C24)</f>
        <v>8.4999789999999997</v>
      </c>
      <c r="D17" s="148">
        <f t="shared" ref="D17:I17" si="2">SUM(D18:D24)</f>
        <v>7.803526999999999</v>
      </c>
      <c r="E17" s="148">
        <f t="shared" si="2"/>
        <v>10.454196999999997</v>
      </c>
      <c r="F17" s="148">
        <f t="shared" si="2"/>
        <v>9.1520249999999983</v>
      </c>
      <c r="G17" s="148">
        <f t="shared" si="2"/>
        <v>11.837385000000001</v>
      </c>
      <c r="H17" s="148">
        <f t="shared" si="2"/>
        <v>11.852502000000001</v>
      </c>
      <c r="I17" s="148">
        <f t="shared" si="2"/>
        <v>12.887839999999997</v>
      </c>
      <c r="J17" s="311">
        <f>SUM(J18:J24)</f>
        <v>12.402150000000002</v>
      </c>
      <c r="K17" s="311">
        <f>SUM(K18:K24)</f>
        <v>11.488886000000001</v>
      </c>
      <c r="L17" s="311">
        <f>SUM(L18:L24)</f>
        <v>11.830708</v>
      </c>
    </row>
    <row r="18" spans="1:12">
      <c r="A18" s="149" t="s">
        <v>172</v>
      </c>
      <c r="B18" s="147" t="s">
        <v>57</v>
      </c>
      <c r="C18" s="150">
        <f>2.581775+0.058287</f>
        <v>2.6400619999999999</v>
      </c>
      <c r="D18" s="150">
        <v>2.5782479999999999</v>
      </c>
      <c r="E18" s="150">
        <f>0.061702+3.911254</f>
        <v>3.9729559999999999</v>
      </c>
      <c r="F18" s="165">
        <f>0.039494+3.385671</f>
        <v>3.4251649999999998</v>
      </c>
      <c r="G18" s="150">
        <f>0.004094+5.06852</f>
        <v>5.0726140000000006</v>
      </c>
      <c r="H18" s="150">
        <f>0.011944+4.499287</f>
        <v>4.5112309999999995</v>
      </c>
      <c r="I18" s="150">
        <f>4.873293+0.01275</f>
        <v>4.8860429999999999</v>
      </c>
      <c r="J18" s="164">
        <v>3.76437</v>
      </c>
      <c r="K18" s="312">
        <v>3.297361</v>
      </c>
      <c r="L18" s="313">
        <v>3.3671500000000001</v>
      </c>
    </row>
    <row r="19" spans="1:12">
      <c r="A19" s="149" t="s">
        <v>25</v>
      </c>
      <c r="B19" s="147" t="s">
        <v>57</v>
      </c>
      <c r="C19" s="151">
        <f>0.520253+2.22507</f>
        <v>2.745323</v>
      </c>
      <c r="D19" s="151">
        <v>1.818127</v>
      </c>
      <c r="E19" s="151">
        <f>1.52123+0.825372</f>
        <v>2.3466019999999999</v>
      </c>
      <c r="F19" s="165">
        <f>1.353305+0.572667</f>
        <v>1.925972</v>
      </c>
      <c r="G19" s="151">
        <f>1.993464+0.802017</f>
        <v>2.7954809999999997</v>
      </c>
      <c r="H19" s="151">
        <f>2.088831+0.873832</f>
        <v>2.962663</v>
      </c>
      <c r="I19" s="151">
        <f>0.807323+1.877242</f>
        <v>2.6845650000000001</v>
      </c>
      <c r="J19" s="164">
        <v>2.9801299999999999</v>
      </c>
      <c r="K19" s="314">
        <v>2.3091590000000002</v>
      </c>
      <c r="L19" s="313">
        <v>2.5399500000000002</v>
      </c>
    </row>
    <row r="20" spans="1:12">
      <c r="A20" s="152" t="s">
        <v>173</v>
      </c>
      <c r="B20" s="147" t="s">
        <v>57</v>
      </c>
      <c r="C20" s="151">
        <f>0.427204+0.684961</f>
        <v>1.1121650000000001</v>
      </c>
      <c r="D20" s="151">
        <v>0.78513599999999995</v>
      </c>
      <c r="E20" s="151">
        <f>0.749508+0.519955</f>
        <v>1.269463</v>
      </c>
      <c r="F20" s="165">
        <f>0.88949+0.661532</f>
        <v>1.5510220000000001</v>
      </c>
      <c r="G20" s="151">
        <f>0.405733+0.45901</f>
        <v>0.86474300000000004</v>
      </c>
      <c r="H20" s="151">
        <f>0.442323+0.499189</f>
        <v>0.94151200000000002</v>
      </c>
      <c r="I20" s="151">
        <f>0.44028+0.41468</f>
        <v>0.85495999999999994</v>
      </c>
      <c r="J20" s="164">
        <v>1.22177</v>
      </c>
      <c r="K20" s="314">
        <v>1.476262</v>
      </c>
      <c r="L20" s="314">
        <v>1.5734669999999999</v>
      </c>
    </row>
    <row r="21" spans="1:12">
      <c r="A21" s="149" t="s">
        <v>174</v>
      </c>
      <c r="B21" s="147" t="s">
        <v>57</v>
      </c>
      <c r="C21" s="151">
        <f>0.341344+0.296876</f>
        <v>0.63822000000000001</v>
      </c>
      <c r="D21" s="151">
        <v>1.123772</v>
      </c>
      <c r="E21" s="151">
        <f>0.363231+0.6602</f>
        <v>1.023431</v>
      </c>
      <c r="F21" s="165">
        <f>0.273985+0.602989</f>
        <v>0.87697399999999992</v>
      </c>
      <c r="G21" s="151">
        <f>0.555057+0.574181</f>
        <v>1.129238</v>
      </c>
      <c r="H21" s="151">
        <f>0.527339+0.673329</f>
        <v>1.2006679999999998</v>
      </c>
      <c r="I21" s="151">
        <f>0.732804+0.601567</f>
        <v>1.334371</v>
      </c>
      <c r="J21" s="164">
        <v>1.04332</v>
      </c>
      <c r="K21" s="314">
        <v>1.3563350000000001</v>
      </c>
      <c r="L21" s="314">
        <v>0.91728799999999999</v>
      </c>
    </row>
    <row r="22" spans="1:12">
      <c r="A22" s="149" t="s">
        <v>175</v>
      </c>
      <c r="B22" s="147" t="s">
        <v>57</v>
      </c>
      <c r="C22" s="151">
        <v>0.10387299999999999</v>
      </c>
      <c r="D22" s="151">
        <v>4.6505999999999999E-2</v>
      </c>
      <c r="E22" s="151">
        <f>0.106188+0.000005</f>
        <v>0.10619300000000001</v>
      </c>
      <c r="F22" s="165">
        <f>0.054194+0.001366</f>
        <v>5.5559999999999998E-2</v>
      </c>
      <c r="G22" s="151">
        <f>0.000096+0.001659</f>
        <v>1.755E-3</v>
      </c>
      <c r="H22" s="151">
        <f>0.000002+0.001526</f>
        <v>1.5280000000000001E-3</v>
      </c>
      <c r="I22" s="151">
        <f>0.000034+0.00098</f>
        <v>1.0139999999999999E-3</v>
      </c>
      <c r="J22" s="164">
        <v>0.14521000000000001</v>
      </c>
      <c r="K22" s="314">
        <v>3.7825999999999999E-2</v>
      </c>
      <c r="L22" s="314">
        <v>3.8115000000000003E-2</v>
      </c>
    </row>
    <row r="23" spans="1:12">
      <c r="A23" s="149" t="s">
        <v>176</v>
      </c>
      <c r="B23" s="147" t="s">
        <v>57</v>
      </c>
      <c r="C23" s="151">
        <f>0.087591+0.05832</f>
        <v>0.14591100000000001</v>
      </c>
      <c r="D23" s="151">
        <v>7.2636999999999993E-2</v>
      </c>
      <c r="E23" s="151">
        <f>0.030827+0.102448</f>
        <v>0.133275</v>
      </c>
      <c r="F23" s="165">
        <f>0.019279+0.054094</f>
        <v>7.3373000000000008E-2</v>
      </c>
      <c r="G23" s="151">
        <f>0.020318+0.10046</f>
        <v>0.120778</v>
      </c>
      <c r="H23" s="151">
        <f>0.020953+0.099389</f>
        <v>0.120342</v>
      </c>
      <c r="I23" s="151">
        <f>0.104549+0.021164</f>
        <v>0.12571299999999999</v>
      </c>
      <c r="J23" s="164">
        <v>5.4400000000000004E-3</v>
      </c>
      <c r="K23" s="314">
        <v>2.849E-3</v>
      </c>
      <c r="L23" s="314">
        <v>2.1619999999999999E-3</v>
      </c>
    </row>
    <row r="24" spans="1:12">
      <c r="A24" s="149" t="s">
        <v>177</v>
      </c>
      <c r="B24" s="147" t="s">
        <v>57</v>
      </c>
      <c r="C24" s="151">
        <f>0.767242+0.347183</f>
        <v>1.114425</v>
      </c>
      <c r="D24" s="151">
        <v>1.3791009999999999</v>
      </c>
      <c r="E24" s="151">
        <f>0.385414+1.216863</f>
        <v>1.602277</v>
      </c>
      <c r="F24" s="165">
        <f>0.404246+0.839713</f>
        <v>1.243959</v>
      </c>
      <c r="G24" s="151">
        <f>1.163694+0.689082</f>
        <v>1.852776</v>
      </c>
      <c r="H24" s="151">
        <f>1.28261+0.831948</f>
        <v>2.1145580000000002</v>
      </c>
      <c r="I24" s="151">
        <f>1.691628+1.309546</f>
        <v>3.0011739999999998</v>
      </c>
      <c r="J24" s="164">
        <v>3.2419099999999998</v>
      </c>
      <c r="K24" s="314">
        <v>3.0090940000000002</v>
      </c>
      <c r="L24" s="314">
        <v>3.392576</v>
      </c>
    </row>
    <row r="25" spans="1:12">
      <c r="A25" s="153"/>
      <c r="B25" s="154"/>
      <c r="C25" s="336" t="s">
        <v>179</v>
      </c>
      <c r="D25" s="337"/>
      <c r="E25" s="337"/>
      <c r="F25" s="337"/>
      <c r="G25" s="337"/>
      <c r="H25" s="337"/>
      <c r="I25" s="337"/>
      <c r="J25" s="337"/>
      <c r="K25" s="337"/>
      <c r="L25" s="332"/>
    </row>
    <row r="26" spans="1:12">
      <c r="A26" s="146" t="s">
        <v>171</v>
      </c>
      <c r="B26" s="147" t="s">
        <v>57</v>
      </c>
      <c r="C26" s="160">
        <f t="shared" ref="C26:K26" si="3">SUM(C27:C33)</f>
        <v>5.8155840000000012</v>
      </c>
      <c r="D26" s="160">
        <f t="shared" si="3"/>
        <v>6.0352639999999997</v>
      </c>
      <c r="E26" s="160">
        <f t="shared" si="3"/>
        <v>5.1817429999999991</v>
      </c>
      <c r="F26" s="160">
        <f t="shared" si="3"/>
        <v>4.7918270000000005</v>
      </c>
      <c r="G26" s="160">
        <f t="shared" si="3"/>
        <v>4.5481639999999999</v>
      </c>
      <c r="H26" s="160">
        <f t="shared" si="3"/>
        <v>5.3574960000000003</v>
      </c>
      <c r="I26" s="160">
        <f t="shared" si="3"/>
        <v>7.0975210000000004</v>
      </c>
      <c r="J26" s="311">
        <f t="shared" si="3"/>
        <v>6.9504199999999994</v>
      </c>
      <c r="K26" s="311">
        <f t="shared" si="3"/>
        <v>7.0024069999999989</v>
      </c>
      <c r="L26" s="311">
        <f>SUM(L27:L33)</f>
        <v>7.2861750000000001</v>
      </c>
    </row>
    <row r="27" spans="1:12">
      <c r="A27" s="149" t="s">
        <v>172</v>
      </c>
      <c r="B27" s="147" t="s">
        <v>57</v>
      </c>
      <c r="C27" s="151">
        <v>4.0835889999999999</v>
      </c>
      <c r="D27" s="151">
        <v>3.750505</v>
      </c>
      <c r="E27" s="151">
        <v>3.133953</v>
      </c>
      <c r="F27" s="151">
        <v>2.7665060000000001</v>
      </c>
      <c r="G27" s="151">
        <v>2.6275520000000001</v>
      </c>
      <c r="H27" s="151">
        <v>3.4210060000000002</v>
      </c>
      <c r="I27" s="151">
        <v>4.1567410000000002</v>
      </c>
      <c r="J27" s="164">
        <v>4.1151499999999999</v>
      </c>
      <c r="K27" s="314">
        <v>4.2936959999999997</v>
      </c>
      <c r="L27" s="315">
        <v>4.4320959999999996</v>
      </c>
    </row>
    <row r="28" spans="1:12">
      <c r="A28" s="149" t="s">
        <v>25</v>
      </c>
      <c r="B28" s="147" t="s">
        <v>57</v>
      </c>
      <c r="C28" s="151">
        <v>0.13994799999999999</v>
      </c>
      <c r="D28" s="151">
        <v>0.30808400000000002</v>
      </c>
      <c r="E28" s="151">
        <v>0.15095600000000001</v>
      </c>
      <c r="F28" s="151">
        <v>0.191246</v>
      </c>
      <c r="G28" s="151">
        <v>0.195988</v>
      </c>
      <c r="H28" s="151">
        <v>0.20480200000000001</v>
      </c>
      <c r="I28" s="151">
        <v>0.74249200000000004</v>
      </c>
      <c r="J28" s="164">
        <v>0.73768999999999996</v>
      </c>
      <c r="K28" s="314">
        <v>0.72409199999999996</v>
      </c>
      <c r="L28" s="315">
        <v>0.74687099999999995</v>
      </c>
    </row>
    <row r="29" spans="1:12">
      <c r="A29" s="152" t="s">
        <v>173</v>
      </c>
      <c r="B29" s="147" t="s">
        <v>57</v>
      </c>
      <c r="C29" s="151">
        <v>0.510436</v>
      </c>
      <c r="D29" s="151">
        <v>0.56277999999999995</v>
      </c>
      <c r="E29" s="151">
        <v>0.59460999999999997</v>
      </c>
      <c r="F29" s="151">
        <v>0.77595099999999995</v>
      </c>
      <c r="G29" s="151">
        <v>0.76546599999999998</v>
      </c>
      <c r="H29" s="151">
        <v>0.805064</v>
      </c>
      <c r="I29" s="151">
        <v>0.85828000000000004</v>
      </c>
      <c r="J29" s="164">
        <v>0.83657000000000004</v>
      </c>
      <c r="K29" s="314">
        <v>0.78279799999999999</v>
      </c>
      <c r="L29" s="315">
        <v>0.86997500000000005</v>
      </c>
    </row>
    <row r="30" spans="1:12">
      <c r="A30" s="149" t="s">
        <v>174</v>
      </c>
      <c r="B30" s="147" t="s">
        <v>57</v>
      </c>
      <c r="C30" s="151">
        <v>0.179344</v>
      </c>
      <c r="D30" s="151">
        <v>0.59169700000000003</v>
      </c>
      <c r="E30" s="151">
        <v>0.63264600000000004</v>
      </c>
      <c r="F30" s="151">
        <v>0.55356499999999997</v>
      </c>
      <c r="G30" s="151">
        <v>0.53826799999999997</v>
      </c>
      <c r="H30" s="151">
        <v>0.44441399999999998</v>
      </c>
      <c r="I30" s="151">
        <v>0.45102900000000001</v>
      </c>
      <c r="J30" s="164">
        <v>0.41071000000000002</v>
      </c>
      <c r="K30" s="314">
        <v>0.41079100000000002</v>
      </c>
      <c r="L30" s="315">
        <v>0.429539</v>
      </c>
    </row>
    <row r="31" spans="1:12">
      <c r="A31" s="149" t="s">
        <v>175</v>
      </c>
      <c r="B31" s="147" t="s">
        <v>57</v>
      </c>
      <c r="C31" s="316">
        <v>1.4799999999999999E-4</v>
      </c>
      <c r="D31" s="316">
        <v>1.9100000000000001E-4</v>
      </c>
      <c r="E31" s="316">
        <v>1.64E-4</v>
      </c>
      <c r="F31" s="316">
        <v>1.2300000000000001E-4</v>
      </c>
      <c r="G31" s="316">
        <v>1.0900000000000001E-4</v>
      </c>
      <c r="H31" s="316">
        <v>9.0000000000000006E-5</v>
      </c>
      <c r="I31" s="316">
        <v>2.581E-3</v>
      </c>
      <c r="J31" s="164">
        <v>2.5799999999999998E-3</v>
      </c>
      <c r="K31" s="314">
        <v>2.581E-3</v>
      </c>
      <c r="L31" s="315">
        <v>2.581E-3</v>
      </c>
    </row>
    <row r="32" spans="1:12">
      <c r="A32" s="149" t="s">
        <v>176</v>
      </c>
      <c r="B32" s="147" t="s">
        <v>57</v>
      </c>
      <c r="C32" s="316">
        <v>2.3333E-2</v>
      </c>
      <c r="D32" s="316">
        <v>4.0275999999999999E-2</v>
      </c>
      <c r="E32" s="316">
        <v>2.6929999999999999E-2</v>
      </c>
      <c r="F32" s="316">
        <v>2.002E-2</v>
      </c>
      <c r="G32" s="316">
        <v>1.3786E-2</v>
      </c>
      <c r="H32" s="316">
        <v>1.7930999999999999E-2</v>
      </c>
      <c r="I32" s="316">
        <v>0.34421499999999999</v>
      </c>
      <c r="J32" s="164">
        <v>0.33790999999999999</v>
      </c>
      <c r="K32" s="314">
        <v>0.33996700000000002</v>
      </c>
      <c r="L32" s="315">
        <v>0.34005200000000002</v>
      </c>
    </row>
    <row r="33" spans="1:12">
      <c r="A33" s="149" t="s">
        <v>177</v>
      </c>
      <c r="B33" s="147" t="s">
        <v>57</v>
      </c>
      <c r="C33" s="316">
        <v>0.87878599999999996</v>
      </c>
      <c r="D33" s="316">
        <v>0.78173099999999995</v>
      </c>
      <c r="E33" s="316">
        <v>0.64248400000000006</v>
      </c>
      <c r="F33" s="316">
        <v>0.48441600000000001</v>
      </c>
      <c r="G33" s="316">
        <v>0.406995</v>
      </c>
      <c r="H33" s="316">
        <v>0.46418900000000002</v>
      </c>
      <c r="I33" s="316">
        <v>0.54218299999999997</v>
      </c>
      <c r="J33" s="164">
        <v>0.50980999999999999</v>
      </c>
      <c r="K33" s="314">
        <v>0.44848199999999999</v>
      </c>
      <c r="L33" s="315">
        <v>0.465061</v>
      </c>
    </row>
    <row r="34" spans="1:12">
      <c r="A34" s="158"/>
      <c r="B34" s="159"/>
      <c r="C34" s="342" t="s">
        <v>180</v>
      </c>
      <c r="D34" s="343"/>
      <c r="E34" s="343"/>
      <c r="F34" s="343"/>
      <c r="G34" s="343"/>
      <c r="H34" s="343"/>
      <c r="I34" s="343"/>
      <c r="J34" s="343"/>
      <c r="K34" s="343"/>
      <c r="L34" s="323"/>
    </row>
    <row r="35" spans="1:12">
      <c r="A35" s="146" t="s">
        <v>171</v>
      </c>
      <c r="B35" s="147" t="s">
        <v>57</v>
      </c>
      <c r="C35" s="160">
        <f t="shared" ref="C35:K35" si="4">SUM(C36:C42)</f>
        <v>13.812647999999999</v>
      </c>
      <c r="D35" s="160">
        <f t="shared" si="4"/>
        <v>12.311852999999999</v>
      </c>
      <c r="E35" s="160">
        <f t="shared" si="4"/>
        <v>12.376996</v>
      </c>
      <c r="F35" s="160">
        <f t="shared" si="4"/>
        <v>12.060987999999998</v>
      </c>
      <c r="G35" s="160">
        <f t="shared" si="4"/>
        <v>11.617524000000001</v>
      </c>
      <c r="H35" s="160">
        <f t="shared" si="4"/>
        <v>11.457381000000002</v>
      </c>
      <c r="I35" s="160">
        <f t="shared" si="4"/>
        <v>11.086735000000001</v>
      </c>
      <c r="J35" s="160">
        <f t="shared" si="4"/>
        <v>11.656058000000002</v>
      </c>
      <c r="K35" s="160">
        <f t="shared" si="4"/>
        <v>9.2210640000000001</v>
      </c>
      <c r="L35" s="160">
        <f>SUM(L36:L42)</f>
        <v>10.003224999999999</v>
      </c>
    </row>
    <row r="36" spans="1:12">
      <c r="A36" s="149" t="s">
        <v>172</v>
      </c>
      <c r="B36" s="147" t="s">
        <v>57</v>
      </c>
      <c r="C36" s="162">
        <v>6.0400910000000003</v>
      </c>
      <c r="D36" s="162">
        <v>5.3802070000000004</v>
      </c>
      <c r="E36" s="162">
        <v>5.5373970000000003</v>
      </c>
      <c r="F36" s="162">
        <v>2.707643</v>
      </c>
      <c r="G36" s="162">
        <v>2.2070650000000001</v>
      </c>
      <c r="H36" s="162">
        <f>2.099695+0.010928</f>
        <v>2.1106229999999999</v>
      </c>
      <c r="I36" s="162">
        <f>2.189449+0.003432</f>
        <v>2.1928810000000003</v>
      </c>
      <c r="J36" s="163">
        <v>3.326003</v>
      </c>
      <c r="K36" s="162">
        <v>3.4582579999999998</v>
      </c>
      <c r="L36" s="315">
        <v>3.1039680000000001</v>
      </c>
    </row>
    <row r="37" spans="1:12">
      <c r="A37" s="149" t="s">
        <v>25</v>
      </c>
      <c r="B37" s="147" t="s">
        <v>57</v>
      </c>
      <c r="C37" s="162">
        <v>2.3435640000000002</v>
      </c>
      <c r="D37" s="162">
        <v>2.1599370000000002</v>
      </c>
      <c r="E37" s="162">
        <v>2.2270409999999998</v>
      </c>
      <c r="F37" s="162">
        <v>2.5321739999999999</v>
      </c>
      <c r="G37" s="162">
        <v>2.6037379999999999</v>
      </c>
      <c r="H37" s="162">
        <f>2.235719+0.453266</f>
        <v>2.6889850000000002</v>
      </c>
      <c r="I37" s="162">
        <f>2.193817+0.208728</f>
        <v>2.4025449999999999</v>
      </c>
      <c r="J37" s="163">
        <v>1.7606919999999999</v>
      </c>
      <c r="K37" s="162">
        <v>1.5348360000000001</v>
      </c>
      <c r="L37" s="315">
        <v>1.0121910000000001</v>
      </c>
    </row>
    <row r="38" spans="1:12">
      <c r="A38" s="152" t="s">
        <v>173</v>
      </c>
      <c r="B38" s="147" t="s">
        <v>57</v>
      </c>
      <c r="C38" s="162">
        <v>0.59079099999999996</v>
      </c>
      <c r="D38" s="162">
        <v>0.62779200000000002</v>
      </c>
      <c r="E38" s="162">
        <v>0.79042900000000005</v>
      </c>
      <c r="F38" s="162">
        <v>1.061841</v>
      </c>
      <c r="G38" s="162">
        <v>1.0167679999999999</v>
      </c>
      <c r="H38" s="162">
        <f>0.779317+0.008587</f>
        <v>0.78790400000000005</v>
      </c>
      <c r="I38" s="162">
        <f>0.731663+0.001131</f>
        <v>0.73279399999999995</v>
      </c>
      <c r="J38" s="163">
        <v>0.79205199999999998</v>
      </c>
      <c r="K38" s="162">
        <v>0.477634</v>
      </c>
      <c r="L38" s="315">
        <v>0.71107500000000001</v>
      </c>
    </row>
    <row r="39" spans="1:12">
      <c r="A39" s="149" t="s">
        <v>174</v>
      </c>
      <c r="B39" s="147" t="s">
        <v>57</v>
      </c>
      <c r="C39" s="162">
        <v>4.6621949999999996</v>
      </c>
      <c r="D39" s="162">
        <v>3.9561160000000002</v>
      </c>
      <c r="E39" s="162">
        <v>3.6209959999999999</v>
      </c>
      <c r="F39" s="162">
        <v>5.5020629999999997</v>
      </c>
      <c r="G39" s="162">
        <v>5.5463300000000002</v>
      </c>
      <c r="H39" s="162">
        <f>4.604217+1.029237</f>
        <v>5.6334540000000004</v>
      </c>
      <c r="I39" s="162">
        <f>4.686746+0.8261</f>
        <v>5.5128460000000006</v>
      </c>
      <c r="J39" s="163">
        <v>5.7527480000000004</v>
      </c>
      <c r="K39" s="162">
        <v>3.7341410000000002</v>
      </c>
      <c r="L39" s="315">
        <v>5.1485690000000002</v>
      </c>
    </row>
    <row r="40" spans="1:12">
      <c r="A40" s="149" t="s">
        <v>175</v>
      </c>
      <c r="B40" s="147" t="s">
        <v>57</v>
      </c>
      <c r="C40" s="162">
        <v>0</v>
      </c>
      <c r="D40" s="162">
        <v>0</v>
      </c>
      <c r="E40" s="162">
        <v>0</v>
      </c>
      <c r="F40" s="162">
        <v>0</v>
      </c>
      <c r="G40" s="162">
        <v>0</v>
      </c>
      <c r="H40" s="162">
        <v>0</v>
      </c>
      <c r="I40" s="162">
        <v>0</v>
      </c>
      <c r="J40" s="163">
        <v>0</v>
      </c>
      <c r="K40" s="162">
        <v>0</v>
      </c>
      <c r="L40" s="315">
        <v>7.9939999999999994E-3</v>
      </c>
    </row>
    <row r="41" spans="1:12">
      <c r="A41" s="149" t="s">
        <v>176</v>
      </c>
      <c r="B41" s="147" t="s">
        <v>57</v>
      </c>
      <c r="C41" s="162">
        <v>0.17574000000000001</v>
      </c>
      <c r="D41" s="162">
        <v>0.18753400000000001</v>
      </c>
      <c r="E41" s="162">
        <v>0.20106399999999999</v>
      </c>
      <c r="F41" s="162">
        <v>0.257162</v>
      </c>
      <c r="G41" s="162">
        <f>0.243326+0.000196</f>
        <v>0.24352199999999999</v>
      </c>
      <c r="H41" s="162">
        <f>0.236146+0.000196</f>
        <v>0.236342</v>
      </c>
      <c r="I41" s="162">
        <f>0.245397+0.000196</f>
        <v>0.24559300000000001</v>
      </c>
      <c r="J41" s="163">
        <v>2.4500000000000001E-2</v>
      </c>
      <c r="K41" s="162">
        <v>1.6111E-2</v>
      </c>
      <c r="L41" s="315">
        <v>1.8974000000000001E-2</v>
      </c>
    </row>
    <row r="42" spans="1:12">
      <c r="A42" s="149" t="s">
        <v>177</v>
      </c>
      <c r="B42" s="147" t="s">
        <v>57</v>
      </c>
      <c r="C42" s="162">
        <v>2.6699999999999998E-4</v>
      </c>
      <c r="D42" s="162">
        <v>2.6699999999999998E-4</v>
      </c>
      <c r="E42" s="162">
        <v>6.8999999999999997E-5</v>
      </c>
      <c r="F42" s="162">
        <v>1.05E-4</v>
      </c>
      <c r="G42" s="162">
        <v>1.01E-4</v>
      </c>
      <c r="H42" s="162">
        <f>0.000044+0.000029</f>
        <v>7.2999999999999999E-5</v>
      </c>
      <c r="I42" s="162">
        <f>0.000046+0.00003</f>
        <v>7.6000000000000004E-5</v>
      </c>
      <c r="J42" s="163">
        <v>6.3E-5</v>
      </c>
      <c r="K42" s="162">
        <v>8.3999999999999995E-5</v>
      </c>
      <c r="L42" s="315">
        <v>4.5399999999999998E-4</v>
      </c>
    </row>
    <row r="43" spans="1:12">
      <c r="A43" s="153"/>
      <c r="B43" s="154"/>
      <c r="C43" s="321" t="s">
        <v>181</v>
      </c>
      <c r="D43" s="322"/>
      <c r="E43" s="322"/>
      <c r="F43" s="322"/>
      <c r="G43" s="322"/>
      <c r="H43" s="322"/>
      <c r="I43" s="322"/>
      <c r="J43" s="322"/>
      <c r="K43" s="322"/>
      <c r="L43" s="323"/>
    </row>
    <row r="44" spans="1:12">
      <c r="A44" s="146" t="s">
        <v>171</v>
      </c>
      <c r="B44" s="147" t="s">
        <v>57</v>
      </c>
      <c r="C44" s="160">
        <f>SUM(C45:C51)</f>
        <v>1.0720450000000001</v>
      </c>
      <c r="D44" s="160">
        <f t="shared" ref="D44:K44" si="5">SUM(D45:D51)</f>
        <v>2.0043309999999996</v>
      </c>
      <c r="E44" s="160">
        <f t="shared" si="5"/>
        <v>1.6167210000000001</v>
      </c>
      <c r="F44" s="160">
        <f t="shared" si="5"/>
        <v>1.4314640000000003</v>
      </c>
      <c r="G44" s="160">
        <f t="shared" si="5"/>
        <v>0.94785700000000017</v>
      </c>
      <c r="H44" s="160">
        <f t="shared" si="5"/>
        <v>1.322986</v>
      </c>
      <c r="I44" s="160">
        <f t="shared" si="5"/>
        <v>1.4114910000000001</v>
      </c>
      <c r="J44" s="160">
        <f t="shared" si="5"/>
        <v>1.2164600000000001</v>
      </c>
      <c r="K44" s="160">
        <f t="shared" si="5"/>
        <v>1.1624989999999999</v>
      </c>
      <c r="L44" s="160">
        <f>SUM(L45:L51)</f>
        <v>1.068854</v>
      </c>
    </row>
    <row r="45" spans="1:12">
      <c r="A45" s="149" t="s">
        <v>172</v>
      </c>
      <c r="B45" s="147" t="s">
        <v>57</v>
      </c>
      <c r="C45" s="151">
        <v>0.45826299999999998</v>
      </c>
      <c r="D45" s="151">
        <v>0.61049200000000003</v>
      </c>
      <c r="E45" s="151">
        <v>0.437253</v>
      </c>
      <c r="F45" s="165">
        <v>0.25277300000000003</v>
      </c>
      <c r="G45" s="151">
        <v>0.43717499999999998</v>
      </c>
      <c r="H45" s="151">
        <v>0.61216099999999996</v>
      </c>
      <c r="I45" s="151">
        <v>0.20283599999999999</v>
      </c>
      <c r="J45" s="164">
        <v>0.155</v>
      </c>
      <c r="K45" s="314">
        <v>0.161744</v>
      </c>
      <c r="L45" s="315">
        <v>0.18082699999999999</v>
      </c>
    </row>
    <row r="46" spans="1:12">
      <c r="A46" s="149" t="s">
        <v>25</v>
      </c>
      <c r="B46" s="147" t="s">
        <v>57</v>
      </c>
      <c r="C46" s="151">
        <v>0.108172</v>
      </c>
      <c r="D46" s="151">
        <v>0.26937699999999998</v>
      </c>
      <c r="E46" s="151">
        <v>0.231572</v>
      </c>
      <c r="F46" s="165">
        <v>0.153834</v>
      </c>
      <c r="G46" s="151">
        <v>0.14352500000000001</v>
      </c>
      <c r="H46" s="151">
        <v>0.22383400000000001</v>
      </c>
      <c r="I46" s="151">
        <v>0.362122</v>
      </c>
      <c r="J46" s="164">
        <v>0.32300000000000001</v>
      </c>
      <c r="K46" s="314">
        <v>0.14979700000000001</v>
      </c>
      <c r="L46" s="315">
        <v>0.28308899999999998</v>
      </c>
    </row>
    <row r="47" spans="1:12">
      <c r="A47" s="152" t="s">
        <v>173</v>
      </c>
      <c r="B47" s="147" t="s">
        <v>57</v>
      </c>
      <c r="C47" s="151">
        <v>4.0231999999999997E-2</v>
      </c>
      <c r="D47" s="151">
        <v>0.37753199999999998</v>
      </c>
      <c r="E47" s="151">
        <v>0.36577900000000002</v>
      </c>
      <c r="F47" s="165">
        <v>0.39177400000000001</v>
      </c>
      <c r="G47" s="151">
        <v>8.5642999999999997E-2</v>
      </c>
      <c r="H47" s="151">
        <v>0.145534</v>
      </c>
      <c r="I47" s="151">
        <v>0.150057</v>
      </c>
      <c r="J47" s="164">
        <v>6.5000000000000002E-2</v>
      </c>
      <c r="K47" s="314">
        <v>7.3275999999999994E-2</v>
      </c>
      <c r="L47" s="315">
        <v>9.2396000000000006E-2</v>
      </c>
    </row>
    <row r="48" spans="1:12">
      <c r="A48" s="149" t="s">
        <v>174</v>
      </c>
      <c r="B48" s="147" t="s">
        <v>57</v>
      </c>
      <c r="C48" s="151">
        <v>0.41554200000000002</v>
      </c>
      <c r="D48" s="151">
        <v>0.59137499999999998</v>
      </c>
      <c r="E48" s="151">
        <v>0.44946799999999998</v>
      </c>
      <c r="F48" s="165">
        <v>0.58740000000000003</v>
      </c>
      <c r="G48" s="151">
        <v>0.24043500000000001</v>
      </c>
      <c r="H48" s="151">
        <v>0.26893800000000001</v>
      </c>
      <c r="I48" s="151">
        <v>0.63973999999999998</v>
      </c>
      <c r="J48" s="164">
        <v>0.622</v>
      </c>
      <c r="K48" s="314">
        <v>0.61039500000000002</v>
      </c>
      <c r="L48" s="315">
        <v>0.46172999999999997</v>
      </c>
    </row>
    <row r="49" spans="1:12">
      <c r="A49" s="149" t="s">
        <v>175</v>
      </c>
      <c r="B49" s="147" t="s">
        <v>57</v>
      </c>
      <c r="C49" s="151">
        <v>0</v>
      </c>
      <c r="D49" s="151">
        <v>0</v>
      </c>
      <c r="E49" s="151">
        <v>0</v>
      </c>
      <c r="F49" s="165">
        <v>0</v>
      </c>
      <c r="G49" s="151">
        <v>0</v>
      </c>
      <c r="H49" s="151">
        <v>0</v>
      </c>
      <c r="I49" s="151">
        <v>0</v>
      </c>
      <c r="J49" s="164">
        <v>0</v>
      </c>
      <c r="K49" s="314">
        <v>0</v>
      </c>
      <c r="L49" s="315">
        <v>0</v>
      </c>
    </row>
    <row r="50" spans="1:12">
      <c r="A50" s="149" t="s">
        <v>176</v>
      </c>
      <c r="B50" s="147" t="s">
        <v>57</v>
      </c>
      <c r="C50" s="151">
        <v>1.1733E-2</v>
      </c>
      <c r="D50" s="151">
        <v>1.9064999999999999E-2</v>
      </c>
      <c r="E50" s="151">
        <v>1.9066E-2</v>
      </c>
      <c r="F50" s="165">
        <v>1.9743E-2</v>
      </c>
      <c r="G50" s="151">
        <v>4.8000000000000001E-4</v>
      </c>
      <c r="H50" s="151">
        <v>4.8000000000000001E-4</v>
      </c>
      <c r="I50" s="151">
        <v>1.2999999999999999E-5</v>
      </c>
      <c r="J50" s="164">
        <v>3.46E-3</v>
      </c>
      <c r="K50" s="314">
        <v>3.4280000000000001E-3</v>
      </c>
      <c r="L50" s="315">
        <v>4.6449999999999998E-3</v>
      </c>
    </row>
    <row r="51" spans="1:12">
      <c r="A51" s="149" t="s">
        <v>177</v>
      </c>
      <c r="B51" s="147" t="s">
        <v>57</v>
      </c>
      <c r="C51" s="151">
        <v>3.8102999999999998E-2</v>
      </c>
      <c r="D51" s="151">
        <v>0.13649</v>
      </c>
      <c r="E51" s="151">
        <v>0.113583</v>
      </c>
      <c r="F51" s="165">
        <v>2.5940000000000001E-2</v>
      </c>
      <c r="G51" s="151">
        <v>4.0599000000000003E-2</v>
      </c>
      <c r="H51" s="151">
        <v>7.2039000000000006E-2</v>
      </c>
      <c r="I51" s="151">
        <v>5.6723000000000003E-2</v>
      </c>
      <c r="J51" s="164">
        <v>4.8000000000000001E-2</v>
      </c>
      <c r="K51" s="314">
        <v>0.163859</v>
      </c>
      <c r="L51" s="315">
        <v>4.6167E-2</v>
      </c>
    </row>
    <row r="52" spans="1:12">
      <c r="A52" s="149"/>
      <c r="B52" s="147"/>
      <c r="C52" s="166"/>
      <c r="D52" s="166"/>
      <c r="E52" s="166"/>
      <c r="F52" s="167"/>
      <c r="G52" s="166"/>
      <c r="H52" s="168"/>
      <c r="I52" s="168"/>
      <c r="J52" s="169"/>
    </row>
    <row r="53" spans="1:12">
      <c r="A53" s="271" t="s">
        <v>182</v>
      </c>
      <c r="B53" s="267"/>
      <c r="C53" s="340" t="s">
        <v>170</v>
      </c>
      <c r="D53" s="341"/>
      <c r="E53" s="341"/>
      <c r="F53" s="341"/>
      <c r="G53" s="341"/>
      <c r="H53" s="341"/>
      <c r="I53" s="341"/>
      <c r="J53" s="341"/>
      <c r="K53" s="341"/>
      <c r="L53" s="323"/>
    </row>
    <row r="54" spans="1:12">
      <c r="A54" s="170" t="s">
        <v>32</v>
      </c>
      <c r="B54" s="147" t="s">
        <v>57</v>
      </c>
      <c r="C54" s="156" t="s">
        <v>219</v>
      </c>
      <c r="D54" s="156" t="s">
        <v>219</v>
      </c>
      <c r="E54" s="156" t="s">
        <v>219</v>
      </c>
      <c r="F54" s="156" t="s">
        <v>219</v>
      </c>
      <c r="G54" s="151">
        <v>3010.8369999999995</v>
      </c>
      <c r="H54" s="151">
        <v>3643.9810000000002</v>
      </c>
      <c r="I54" s="151">
        <v>4191.152</v>
      </c>
      <c r="J54" s="151">
        <f>J56+J58+J60+J62</f>
        <v>4855.2560000000003</v>
      </c>
      <c r="K54" s="171">
        <f>K56+K58+K60+K62</f>
        <v>4656.3288129999992</v>
      </c>
      <c r="L54" s="171">
        <f>L56+L58+L60+L62</f>
        <v>4739.3681800000004</v>
      </c>
    </row>
    <row r="55" spans="1:12">
      <c r="A55" s="153"/>
      <c r="B55" s="154"/>
      <c r="C55" s="344" t="s">
        <v>178</v>
      </c>
      <c r="D55" s="345"/>
      <c r="E55" s="345"/>
      <c r="F55" s="345"/>
      <c r="G55" s="345"/>
      <c r="H55" s="345"/>
      <c r="I55" s="345"/>
      <c r="J55" s="345"/>
      <c r="K55" s="345"/>
      <c r="L55" s="335"/>
    </row>
    <row r="56" spans="1:12">
      <c r="A56" s="170" t="s">
        <v>32</v>
      </c>
      <c r="B56" s="147" t="s">
        <v>57</v>
      </c>
      <c r="C56" s="156" t="s">
        <v>219</v>
      </c>
      <c r="D56" s="156" t="s">
        <v>219</v>
      </c>
      <c r="E56" s="156" t="s">
        <v>219</v>
      </c>
      <c r="F56" s="156" t="s">
        <v>219</v>
      </c>
      <c r="G56" s="151">
        <v>2217.7869999999998</v>
      </c>
      <c r="H56" s="151">
        <v>2804.4850000000001</v>
      </c>
      <c r="I56" s="151">
        <v>3354.1210000000001</v>
      </c>
      <c r="J56" s="151">
        <v>3995.83</v>
      </c>
      <c r="K56" s="157">
        <v>3746.0692279999998</v>
      </c>
      <c r="L56" s="278">
        <v>3811.5343950000001</v>
      </c>
    </row>
    <row r="57" spans="1:12">
      <c r="A57" s="153"/>
      <c r="B57" s="154"/>
      <c r="C57" s="324" t="s">
        <v>179</v>
      </c>
      <c r="D57" s="325"/>
      <c r="E57" s="325"/>
      <c r="F57" s="325"/>
      <c r="G57" s="325"/>
      <c r="H57" s="325"/>
      <c r="I57" s="325"/>
      <c r="J57" s="325"/>
      <c r="K57" s="325"/>
      <c r="L57" s="326"/>
    </row>
    <row r="58" spans="1:12">
      <c r="A58" s="170" t="s">
        <v>32</v>
      </c>
      <c r="B58" s="147" t="s">
        <v>57</v>
      </c>
      <c r="C58" s="156" t="s">
        <v>219</v>
      </c>
      <c r="D58" s="156" t="s">
        <v>219</v>
      </c>
      <c r="E58" s="156" t="s">
        <v>219</v>
      </c>
      <c r="F58" s="156" t="s">
        <v>219</v>
      </c>
      <c r="G58" s="151">
        <v>130.875</v>
      </c>
      <c r="H58" s="151">
        <v>171.33199999999999</v>
      </c>
      <c r="I58" s="151">
        <v>164.29900000000001</v>
      </c>
      <c r="J58" s="151">
        <v>157.886</v>
      </c>
      <c r="K58" s="157">
        <v>152.632295</v>
      </c>
      <c r="L58" s="205">
        <v>170.024171</v>
      </c>
    </row>
    <row r="59" spans="1:12">
      <c r="A59" s="153"/>
      <c r="B59" s="154"/>
      <c r="C59" s="327" t="s">
        <v>180</v>
      </c>
      <c r="D59" s="328"/>
      <c r="E59" s="328"/>
      <c r="F59" s="328"/>
      <c r="G59" s="328"/>
      <c r="H59" s="328"/>
      <c r="I59" s="328"/>
      <c r="J59" s="328"/>
      <c r="K59" s="328"/>
      <c r="L59" s="326"/>
    </row>
    <row r="60" spans="1:12">
      <c r="A60" s="170" t="s">
        <v>32</v>
      </c>
      <c r="B60" s="147" t="s">
        <v>57</v>
      </c>
      <c r="C60" s="156" t="s">
        <v>219</v>
      </c>
      <c r="D60" s="156" t="s">
        <v>219</v>
      </c>
      <c r="E60" s="156" t="s">
        <v>219</v>
      </c>
      <c r="F60" s="156" t="s">
        <v>219</v>
      </c>
      <c r="G60" s="151">
        <v>544.01900000000001</v>
      </c>
      <c r="H60" s="151">
        <v>563.41099999999994</v>
      </c>
      <c r="I60" s="151">
        <v>569.19399999999996</v>
      </c>
      <c r="J60" s="151">
        <v>583.14400000000001</v>
      </c>
      <c r="K60" s="157">
        <v>636.30250000000001</v>
      </c>
      <c r="L60" s="205">
        <v>646.39465199999995</v>
      </c>
    </row>
    <row r="61" spans="1:12">
      <c r="A61" s="153"/>
      <c r="B61" s="154"/>
      <c r="C61" s="324" t="s">
        <v>181</v>
      </c>
      <c r="D61" s="325"/>
      <c r="E61" s="325"/>
      <c r="F61" s="325"/>
      <c r="G61" s="325"/>
      <c r="H61" s="325"/>
      <c r="I61" s="325"/>
      <c r="J61" s="325"/>
      <c r="K61" s="325"/>
      <c r="L61" s="326"/>
    </row>
    <row r="62" spans="1:12">
      <c r="A62" s="172" t="s">
        <v>32</v>
      </c>
      <c r="B62" s="147" t="s">
        <v>57</v>
      </c>
      <c r="C62" s="156" t="s">
        <v>219</v>
      </c>
      <c r="D62" s="156" t="s">
        <v>219</v>
      </c>
      <c r="E62" s="156" t="s">
        <v>219</v>
      </c>
      <c r="F62" s="156" t="s">
        <v>219</v>
      </c>
      <c r="G62" s="151">
        <v>118.15600000000001</v>
      </c>
      <c r="H62" s="151">
        <v>104.753</v>
      </c>
      <c r="I62" s="151">
        <v>103.538</v>
      </c>
      <c r="J62" s="151">
        <v>118.396</v>
      </c>
      <c r="K62" s="157">
        <v>121.32478999999999</v>
      </c>
      <c r="L62" s="205">
        <v>111.414962</v>
      </c>
    </row>
    <row r="63" spans="1:12">
      <c r="A63" s="271" t="s">
        <v>183</v>
      </c>
      <c r="B63" s="267"/>
      <c r="C63" s="338" t="s">
        <v>170</v>
      </c>
      <c r="D63" s="339"/>
      <c r="E63" s="339"/>
      <c r="F63" s="339"/>
      <c r="G63" s="339"/>
      <c r="H63" s="339"/>
      <c r="I63" s="339"/>
      <c r="J63" s="339"/>
      <c r="K63" s="339"/>
      <c r="L63" s="326"/>
    </row>
    <row r="64" spans="1:12">
      <c r="A64" s="170" t="s">
        <v>32</v>
      </c>
      <c r="B64" s="147" t="s">
        <v>57</v>
      </c>
      <c r="C64" s="156" t="s">
        <v>219</v>
      </c>
      <c r="D64" s="156" t="s">
        <v>219</v>
      </c>
      <c r="E64" s="156" t="s">
        <v>219</v>
      </c>
      <c r="F64" s="156" t="s">
        <v>219</v>
      </c>
      <c r="G64" s="165">
        <v>976.03800000000001</v>
      </c>
      <c r="H64" s="165">
        <v>1023.22</v>
      </c>
      <c r="I64" s="165">
        <v>1047.2059999999999</v>
      </c>
      <c r="J64" s="151">
        <f>J66+J68+J70+J72</f>
        <v>1070.7</v>
      </c>
      <c r="K64" s="171">
        <f>K66+K68+K70+K72</f>
        <v>1146.2179999999998</v>
      </c>
      <c r="L64" s="171">
        <f>L66+L68+L70+L72</f>
        <v>1221.30972</v>
      </c>
    </row>
    <row r="65" spans="1:12">
      <c r="A65" s="153"/>
      <c r="B65" s="154"/>
      <c r="C65" s="324" t="s">
        <v>178</v>
      </c>
      <c r="D65" s="325"/>
      <c r="E65" s="325"/>
      <c r="F65" s="325"/>
      <c r="G65" s="325"/>
      <c r="H65" s="325"/>
      <c r="I65" s="325"/>
      <c r="J65" s="325"/>
      <c r="K65" s="325"/>
      <c r="L65" s="326"/>
    </row>
    <row r="66" spans="1:12">
      <c r="A66" s="170" t="s">
        <v>32</v>
      </c>
      <c r="B66" s="147" t="s">
        <v>57</v>
      </c>
      <c r="C66" s="156" t="s">
        <v>219</v>
      </c>
      <c r="D66" s="156" t="s">
        <v>219</v>
      </c>
      <c r="E66" s="156" t="s">
        <v>219</v>
      </c>
      <c r="F66" s="156" t="s">
        <v>219</v>
      </c>
      <c r="G66" s="156" t="s">
        <v>219</v>
      </c>
      <c r="H66" s="156" t="s">
        <v>219</v>
      </c>
      <c r="I66" s="156" t="s">
        <v>219</v>
      </c>
      <c r="J66" s="151">
        <v>164.27</v>
      </c>
      <c r="K66" s="157">
        <v>196.977</v>
      </c>
      <c r="L66" s="279">
        <v>228.02816000000001</v>
      </c>
    </row>
    <row r="67" spans="1:12">
      <c r="A67" s="153"/>
      <c r="B67" s="154"/>
      <c r="C67" s="324" t="s">
        <v>179</v>
      </c>
      <c r="D67" s="325"/>
      <c r="E67" s="325"/>
      <c r="F67" s="325"/>
      <c r="G67" s="325"/>
      <c r="H67" s="325"/>
      <c r="I67" s="325"/>
      <c r="J67" s="325"/>
      <c r="K67" s="325"/>
      <c r="L67" s="326"/>
    </row>
    <row r="68" spans="1:12">
      <c r="A68" s="170" t="s">
        <v>32</v>
      </c>
      <c r="B68" s="147" t="s">
        <v>57</v>
      </c>
      <c r="C68" s="156" t="s">
        <v>219</v>
      </c>
      <c r="D68" s="156" t="s">
        <v>219</v>
      </c>
      <c r="E68" s="156" t="s">
        <v>219</v>
      </c>
      <c r="F68" s="156" t="s">
        <v>219</v>
      </c>
      <c r="G68" s="156" t="s">
        <v>219</v>
      </c>
      <c r="H68" s="156" t="s">
        <v>219</v>
      </c>
      <c r="I68" s="156" t="s">
        <v>219</v>
      </c>
      <c r="J68" s="151">
        <v>63.116</v>
      </c>
      <c r="K68" s="157">
        <v>66.033000000000001</v>
      </c>
      <c r="L68" s="279">
        <v>61.45467</v>
      </c>
    </row>
    <row r="69" spans="1:12">
      <c r="A69" s="153"/>
      <c r="B69" s="154"/>
      <c r="C69" s="327" t="s">
        <v>180</v>
      </c>
      <c r="D69" s="328"/>
      <c r="E69" s="328"/>
      <c r="F69" s="328"/>
      <c r="G69" s="328"/>
      <c r="H69" s="328"/>
      <c r="I69" s="328"/>
      <c r="J69" s="328"/>
      <c r="K69" s="328"/>
      <c r="L69" s="326"/>
    </row>
    <row r="70" spans="1:12">
      <c r="A70" s="170" t="s">
        <v>32</v>
      </c>
      <c r="B70" s="147" t="s">
        <v>57</v>
      </c>
      <c r="C70" s="156" t="s">
        <v>219</v>
      </c>
      <c r="D70" s="156" t="s">
        <v>219</v>
      </c>
      <c r="E70" s="156" t="s">
        <v>219</v>
      </c>
      <c r="F70" s="156" t="s">
        <v>219</v>
      </c>
      <c r="G70" s="156" t="s">
        <v>219</v>
      </c>
      <c r="H70" s="156" t="s">
        <v>219</v>
      </c>
      <c r="I70" s="156" t="s">
        <v>219</v>
      </c>
      <c r="J70" s="151">
        <v>770.95799999999997</v>
      </c>
      <c r="K70" s="157">
        <v>811.55</v>
      </c>
      <c r="L70" s="280">
        <v>856.31731000000002</v>
      </c>
    </row>
    <row r="71" spans="1:12">
      <c r="A71" s="153"/>
      <c r="B71" s="154"/>
      <c r="C71" s="324" t="s">
        <v>181</v>
      </c>
      <c r="D71" s="325"/>
      <c r="E71" s="325"/>
      <c r="F71" s="325"/>
      <c r="G71" s="325"/>
      <c r="H71" s="325"/>
      <c r="I71" s="325"/>
      <c r="J71" s="325"/>
      <c r="K71" s="325"/>
      <c r="L71" s="326"/>
    </row>
    <row r="72" spans="1:12">
      <c r="A72" s="172" t="s">
        <v>32</v>
      </c>
      <c r="B72" s="147" t="s">
        <v>57</v>
      </c>
      <c r="C72" s="156" t="s">
        <v>219</v>
      </c>
      <c r="D72" s="156" t="s">
        <v>219</v>
      </c>
      <c r="E72" s="156" t="s">
        <v>219</v>
      </c>
      <c r="F72" s="156" t="s">
        <v>219</v>
      </c>
      <c r="G72" s="156" t="s">
        <v>219</v>
      </c>
      <c r="H72" s="156" t="s">
        <v>219</v>
      </c>
      <c r="I72" s="156" t="s">
        <v>219</v>
      </c>
      <c r="J72" s="151">
        <v>72.355999999999995</v>
      </c>
      <c r="K72" s="157">
        <v>71.658000000000001</v>
      </c>
      <c r="L72" s="279">
        <v>75.50958</v>
      </c>
    </row>
    <row r="73" spans="1:12">
      <c r="A73" s="271" t="s">
        <v>184</v>
      </c>
      <c r="B73" s="267"/>
      <c r="C73" s="338" t="s">
        <v>170</v>
      </c>
      <c r="D73" s="339"/>
      <c r="E73" s="339"/>
      <c r="F73" s="339"/>
      <c r="G73" s="339"/>
      <c r="H73" s="339"/>
      <c r="I73" s="339"/>
      <c r="J73" s="339"/>
      <c r="K73" s="339"/>
      <c r="L73" s="326"/>
    </row>
    <row r="74" spans="1:12">
      <c r="A74" s="173" t="s">
        <v>32</v>
      </c>
      <c r="B74" s="147" t="s">
        <v>57</v>
      </c>
      <c r="C74" s="156" t="s">
        <v>219</v>
      </c>
      <c r="D74" s="156" t="s">
        <v>219</v>
      </c>
      <c r="E74" s="156" t="s">
        <v>219</v>
      </c>
      <c r="F74" s="156" t="s">
        <v>219</v>
      </c>
      <c r="G74" s="156" t="s">
        <v>219</v>
      </c>
      <c r="H74" s="156" t="s">
        <v>219</v>
      </c>
      <c r="I74" s="156" t="s">
        <v>219</v>
      </c>
      <c r="J74" s="151">
        <v>12762.855</v>
      </c>
      <c r="K74" s="171">
        <v>14983.345729999999</v>
      </c>
      <c r="L74" s="171">
        <v>15000.64673</v>
      </c>
    </row>
    <row r="75" spans="1:12">
      <c r="A75" s="174"/>
      <c r="B75" s="147"/>
      <c r="C75" s="166"/>
      <c r="D75" s="166"/>
      <c r="E75" s="166"/>
      <c r="F75" s="166"/>
      <c r="G75" s="175"/>
      <c r="H75" s="175"/>
      <c r="I75" s="175"/>
      <c r="J75" s="175"/>
      <c r="K75" s="176"/>
    </row>
    <row r="76" spans="1:12">
      <c r="A76" s="266" t="s">
        <v>185</v>
      </c>
      <c r="B76" s="267" t="s">
        <v>169</v>
      </c>
      <c r="C76" s="267">
        <v>2011</v>
      </c>
      <c r="D76" s="267">
        <v>2012</v>
      </c>
      <c r="E76" s="267">
        <v>2013</v>
      </c>
      <c r="F76" s="267">
        <v>2014</v>
      </c>
      <c r="G76" s="267">
        <v>2015</v>
      </c>
      <c r="H76" s="267">
        <v>2016</v>
      </c>
      <c r="I76" s="267">
        <v>2017</v>
      </c>
      <c r="J76" s="267">
        <v>2018</v>
      </c>
      <c r="K76" s="267">
        <v>2019</v>
      </c>
      <c r="L76" s="267">
        <v>2020</v>
      </c>
    </row>
    <row r="77" spans="1:12">
      <c r="A77" s="177"/>
      <c r="B77" s="178"/>
      <c r="C77" s="178"/>
      <c r="D77" s="178"/>
      <c r="E77" s="178"/>
      <c r="F77" s="178"/>
      <c r="G77" s="178"/>
      <c r="H77" s="178"/>
      <c r="I77" s="178"/>
      <c r="J77" s="178"/>
      <c r="K77" s="6"/>
    </row>
    <row r="78" spans="1:12">
      <c r="A78" s="271" t="s">
        <v>186</v>
      </c>
      <c r="B78" s="267"/>
      <c r="C78" s="340" t="s">
        <v>170</v>
      </c>
      <c r="D78" s="341"/>
      <c r="E78" s="341"/>
      <c r="F78" s="341"/>
      <c r="G78" s="341"/>
      <c r="H78" s="341"/>
      <c r="I78" s="341"/>
      <c r="J78" s="341"/>
      <c r="K78" s="341"/>
      <c r="L78" s="323"/>
    </row>
    <row r="79" spans="1:12">
      <c r="A79" s="170" t="s">
        <v>187</v>
      </c>
      <c r="B79" s="179" t="s">
        <v>29</v>
      </c>
      <c r="C79" s="180">
        <f>C81+C83+C85+C87</f>
        <v>198.95957399999998</v>
      </c>
      <c r="D79" s="180">
        <f>D81+D83+D85+D683</f>
        <v>248.04387500000004</v>
      </c>
      <c r="E79" s="180">
        <f t="shared" ref="E79:L79" si="6">E81+E83+E85+E87</f>
        <v>207.866625</v>
      </c>
      <c r="F79" s="180">
        <f>F81+F83+F85+F87</f>
        <v>209.69714499999998</v>
      </c>
      <c r="G79" s="180">
        <f t="shared" si="6"/>
        <v>214.17173699999995</v>
      </c>
      <c r="H79" s="180">
        <f t="shared" si="6"/>
        <v>221.24631899999997</v>
      </c>
      <c r="I79" s="181">
        <f t="shared" si="6"/>
        <v>233.79184999999998</v>
      </c>
      <c r="J79" s="181">
        <f t="shared" si="6"/>
        <v>224.166</v>
      </c>
      <c r="K79" s="181">
        <f t="shared" si="6"/>
        <v>190.10399999999998</v>
      </c>
      <c r="L79" s="181">
        <f t="shared" si="6"/>
        <v>226.59200000000001</v>
      </c>
    </row>
    <row r="80" spans="1:12">
      <c r="A80" s="144"/>
      <c r="B80" s="182"/>
      <c r="C80" s="321" t="s">
        <v>178</v>
      </c>
      <c r="D80" s="322"/>
      <c r="E80" s="322"/>
      <c r="F80" s="322"/>
      <c r="G80" s="322"/>
      <c r="H80" s="322"/>
      <c r="I80" s="322"/>
      <c r="J80" s="322"/>
      <c r="K80" s="322"/>
      <c r="L80" s="323"/>
    </row>
    <row r="81" spans="1:12">
      <c r="A81" s="170" t="s">
        <v>187</v>
      </c>
      <c r="B81" s="179" t="s">
        <v>29</v>
      </c>
      <c r="C81" s="180">
        <f>10.825616-1.94807+3.254718+7.32703+0.68444+0.29647</f>
        <v>20.440203999999998</v>
      </c>
      <c r="D81" s="183">
        <f>5.12383-0.9859+1.68715+4.945572-0.98234+1.550123+4.55813+0.32644+0.11409</f>
        <v>16.337095000000001</v>
      </c>
      <c r="E81" s="183">
        <f>9.916821-1.328003+2.598072+8.086817+0.720576+0.009468</f>
        <v>20.003751000000001</v>
      </c>
      <c r="F81" s="183">
        <f>8.285132+0.702656+10.031878-1.148362+2.290381</f>
        <v>20.161685000000002</v>
      </c>
      <c r="G81" s="183">
        <f>8.187388+0.740301+0.001746+10.030508-1.113231+2.164075</f>
        <v>20.010787000000004</v>
      </c>
      <c r="H81" s="183">
        <f>10.50991-1.13791+1.9604+9.02601+0.823661+0.007718</f>
        <v>21.189789000000001</v>
      </c>
      <c r="I81" s="180">
        <v>25.475000000000001</v>
      </c>
      <c r="J81" s="285">
        <v>29.77</v>
      </c>
      <c r="K81" s="157">
        <v>33.863</v>
      </c>
      <c r="L81" s="281">
        <v>35.872</v>
      </c>
    </row>
    <row r="82" spans="1:12">
      <c r="A82" s="144"/>
      <c r="B82" s="145"/>
      <c r="C82" s="324" t="s">
        <v>179</v>
      </c>
      <c r="D82" s="325"/>
      <c r="E82" s="325"/>
      <c r="F82" s="325"/>
      <c r="G82" s="325"/>
      <c r="H82" s="325"/>
      <c r="I82" s="325"/>
      <c r="J82" s="325"/>
      <c r="K82" s="325"/>
      <c r="L82" s="326"/>
    </row>
    <row r="83" spans="1:12">
      <c r="A83" s="170" t="s">
        <v>187</v>
      </c>
      <c r="B83" s="179" t="s">
        <v>29</v>
      </c>
      <c r="C83" s="184">
        <f>5.69256+0.89347</f>
        <v>6.5860300000000001</v>
      </c>
      <c r="D83" s="184">
        <f>5.89983+0.84772</f>
        <v>6.7475499999999995</v>
      </c>
      <c r="E83" s="184">
        <f>5.72535+0.77345</f>
        <v>6.4987999999999992</v>
      </c>
      <c r="F83" s="184">
        <f>5.803+0.77052</f>
        <v>6.5735200000000003</v>
      </c>
      <c r="G83" s="184">
        <f>6.07865+0.8192</f>
        <v>6.89785</v>
      </c>
      <c r="H83" s="184">
        <f>6.32074+0.85948</f>
        <v>7.1802200000000003</v>
      </c>
      <c r="I83" s="184">
        <v>7.7569999999999997</v>
      </c>
      <c r="J83" s="155">
        <v>7.944</v>
      </c>
      <c r="K83" s="157">
        <v>8.4979999999999993</v>
      </c>
      <c r="L83" s="171">
        <v>8.5009999999999994</v>
      </c>
    </row>
    <row r="84" spans="1:12">
      <c r="A84" s="185"/>
      <c r="B84" s="186"/>
      <c r="C84" s="329" t="s">
        <v>180</v>
      </c>
      <c r="D84" s="328"/>
      <c r="E84" s="328"/>
      <c r="F84" s="328"/>
      <c r="G84" s="328"/>
      <c r="H84" s="328"/>
      <c r="I84" s="328"/>
      <c r="J84" s="328"/>
      <c r="K84" s="328"/>
      <c r="L84" s="326"/>
    </row>
    <row r="85" spans="1:12">
      <c r="A85" s="170" t="s">
        <v>187</v>
      </c>
      <c r="B85" s="179" t="s">
        <v>29</v>
      </c>
      <c r="C85" s="187">
        <f>(47940.11+67319.47+51774.13+3.15+1092.18)/1000</f>
        <v>168.12903999999997</v>
      </c>
      <c r="D85" s="187">
        <f>2.36754+1.59425+4.19671+72.11227+44.64003+0.96276+0.00006+28.53732+0.00074+0.00003+1.01346+0.0472+6.26434+42.37126+20.85126</f>
        <v>224.95923000000005</v>
      </c>
      <c r="E85" s="188">
        <f>1.95638+1.93699+4.38957+58.15409+0.90205+0.12361+0.001028+0.000036+45.85143+1.14892+5.91785+32.79662+25.35701</f>
        <v>178.535584</v>
      </c>
      <c r="F85" s="188">
        <f>0.26025+0.29532+0.05799+2.10261+3.64386+65.58359+4.91781+31.70723+21.53411+0.0013+0.00003+47.32779+0.88579+1.79519+0.00002</f>
        <v>180.11288999999996</v>
      </c>
      <c r="G85" s="188">
        <f>0.20307+4.8327+37.29376+24.18965+0.00357+2.05108+4.07274+64.47312+0.00103+0.00003+46.18516+0.85322+0.49298</f>
        <v>184.65210999999996</v>
      </c>
      <c r="H85" s="188">
        <f>7.65895+0.00014+2.2825+5.17059+0.17594+76.52357+5.14223+42.64378+18.95965+1.4503+0.32806+4.53821+0.20631+0.86645+0.28819+0.84597+15.469+0.92458+7.10682+0.00797</f>
        <v>190.58920999999995</v>
      </c>
      <c r="I85" s="162">
        <f>7.02579+17.67071+2.07371+6.23111+0.07342+0.18524+85.03871+5.36721+31.29905+21.18038+0.15412+0.61802+0.77727+18.87961+1.19924+0.24182+0.00344</f>
        <v>198.01884999999999</v>
      </c>
      <c r="J85" s="189">
        <v>184.24600000000001</v>
      </c>
      <c r="K85" s="157">
        <v>145.404</v>
      </c>
      <c r="L85" s="171">
        <v>179.22900000000001</v>
      </c>
    </row>
    <row r="86" spans="1:12">
      <c r="A86" s="144"/>
      <c r="B86" s="145"/>
      <c r="C86" s="324" t="s">
        <v>181</v>
      </c>
      <c r="D86" s="325"/>
      <c r="E86" s="325"/>
      <c r="F86" s="325"/>
      <c r="G86" s="325"/>
      <c r="H86" s="325"/>
      <c r="I86" s="325"/>
      <c r="J86" s="325"/>
      <c r="K86" s="325"/>
      <c r="L86" s="326"/>
    </row>
    <row r="87" spans="1:12">
      <c r="A87" s="170" t="s">
        <v>187</v>
      </c>
      <c r="B87" s="179" t="s">
        <v>29</v>
      </c>
      <c r="C87" s="190">
        <v>3.8043</v>
      </c>
      <c r="D87" s="190">
        <v>3.3868999999999998</v>
      </c>
      <c r="E87" s="190">
        <v>2.8284899999999999</v>
      </c>
      <c r="F87" s="190">
        <v>2.8490500000000001</v>
      </c>
      <c r="G87" s="190">
        <v>2.6109900000000001</v>
      </c>
      <c r="H87" s="190">
        <v>2.2871000000000001</v>
      </c>
      <c r="I87" s="191">
        <v>2.5409999999999999</v>
      </c>
      <c r="J87" s="192">
        <v>2.206</v>
      </c>
      <c r="K87" s="181">
        <v>2.339</v>
      </c>
      <c r="L87" s="171">
        <v>2.99</v>
      </c>
    </row>
    <row r="88" spans="1:12">
      <c r="A88" s="271" t="s">
        <v>188</v>
      </c>
      <c r="B88" s="267"/>
      <c r="C88" s="340" t="s">
        <v>170</v>
      </c>
      <c r="D88" s="341"/>
      <c r="E88" s="341"/>
      <c r="F88" s="341"/>
      <c r="G88" s="341"/>
      <c r="H88" s="341"/>
      <c r="I88" s="341"/>
      <c r="J88" s="341"/>
      <c r="K88" s="341"/>
      <c r="L88" s="323"/>
    </row>
    <row r="89" spans="1:12">
      <c r="A89" s="149" t="s">
        <v>189</v>
      </c>
      <c r="B89" s="179" t="s">
        <v>29</v>
      </c>
      <c r="C89" s="180">
        <f>C93+C97+C101+C105</f>
        <v>176.54878099999999</v>
      </c>
      <c r="D89" s="183">
        <f t="shared" ref="D89:K91" si="7">D93+D97+D101+D105</f>
        <v>209.22839299999998</v>
      </c>
      <c r="E89" s="183">
        <f t="shared" si="7"/>
        <v>183.53141099999999</v>
      </c>
      <c r="F89" s="183">
        <f t="shared" si="7"/>
        <v>183.48618500000001</v>
      </c>
      <c r="G89" s="183">
        <f t="shared" si="7"/>
        <v>188.77123</v>
      </c>
      <c r="H89" s="183">
        <f t="shared" si="7"/>
        <v>200.03313399999999</v>
      </c>
      <c r="I89" s="184">
        <f t="shared" si="7"/>
        <v>214.69125000000003</v>
      </c>
      <c r="J89" s="183">
        <f t="shared" si="7"/>
        <v>185.62066000000002</v>
      </c>
      <c r="K89" s="184">
        <f t="shared" si="7"/>
        <v>152.22260999999997</v>
      </c>
      <c r="L89" s="184">
        <f t="shared" ref="L89" si="8">L93+L97+L101+L105</f>
        <v>188.45557000000002</v>
      </c>
    </row>
    <row r="90" spans="1:12">
      <c r="A90" s="149" t="s">
        <v>190</v>
      </c>
      <c r="B90" s="179" t="s">
        <v>29</v>
      </c>
      <c r="C90" s="183">
        <f>C94+C98+C102+C106</f>
        <v>0</v>
      </c>
      <c r="D90" s="183">
        <f t="shared" si="7"/>
        <v>0</v>
      </c>
      <c r="E90" s="183">
        <f t="shared" si="7"/>
        <v>0</v>
      </c>
      <c r="F90" s="183">
        <f t="shared" si="7"/>
        <v>0</v>
      </c>
      <c r="G90" s="183">
        <f t="shared" si="7"/>
        <v>0</v>
      </c>
      <c r="H90" s="183">
        <f t="shared" si="7"/>
        <v>0</v>
      </c>
      <c r="I90" s="183">
        <f t="shared" si="7"/>
        <v>0</v>
      </c>
      <c r="J90" s="183">
        <f t="shared" si="7"/>
        <v>0</v>
      </c>
      <c r="K90" s="184">
        <f t="shared" si="7"/>
        <v>4.9591500000000002</v>
      </c>
      <c r="L90" s="184">
        <f t="shared" ref="L90" si="9">L94+L98+L102+L106</f>
        <v>188.45557000000002</v>
      </c>
    </row>
    <row r="91" spans="1:12">
      <c r="A91" s="149" t="s">
        <v>191</v>
      </c>
      <c r="B91" s="147" t="s">
        <v>57</v>
      </c>
      <c r="C91" s="183">
        <f>C95+C99+C103+C107</f>
        <v>67.806834658</v>
      </c>
      <c r="D91" s="183">
        <f t="shared" si="7"/>
        <v>89.749734657999994</v>
      </c>
      <c r="E91" s="183">
        <f t="shared" si="7"/>
        <v>81.838945499999994</v>
      </c>
      <c r="F91" s="183">
        <f t="shared" si="7"/>
        <v>74.648135120000006</v>
      </c>
      <c r="G91" s="183">
        <f t="shared" si="7"/>
        <v>78.198180899999997</v>
      </c>
      <c r="H91" s="183">
        <f t="shared" si="7"/>
        <v>32.389529459999999</v>
      </c>
      <c r="I91" s="184">
        <f t="shared" si="7"/>
        <v>29.603191500000001</v>
      </c>
      <c r="J91" s="184">
        <f t="shared" si="7"/>
        <v>23.740870999999999</v>
      </c>
      <c r="K91" s="184">
        <f t="shared" si="7"/>
        <v>19.956674</v>
      </c>
      <c r="L91" s="184">
        <f t="shared" ref="L91" si="10">L95+L99+L103+L107</f>
        <v>13.579973899999999</v>
      </c>
    </row>
    <row r="92" spans="1:12">
      <c r="A92" s="144"/>
      <c r="B92" s="182"/>
      <c r="C92" s="324" t="s">
        <v>178</v>
      </c>
      <c r="D92" s="325"/>
      <c r="E92" s="325"/>
      <c r="F92" s="325"/>
      <c r="G92" s="325"/>
      <c r="H92" s="325"/>
      <c r="I92" s="325"/>
      <c r="J92" s="325"/>
      <c r="K92" s="325"/>
      <c r="L92" s="326"/>
    </row>
    <row r="93" spans="1:12">
      <c r="A93" s="149" t="s">
        <v>189</v>
      </c>
      <c r="B93" s="179" t="s">
        <v>29</v>
      </c>
      <c r="C93" s="181">
        <f>3.78894+5.736621</f>
        <v>9.5255609999999997</v>
      </c>
      <c r="D93" s="184">
        <f>3.688761+1.78296+1.64125</f>
        <v>7.1129710000000008</v>
      </c>
      <c r="E93" s="184">
        <f>3.57186+5.912531</f>
        <v>9.4843910000000005</v>
      </c>
      <c r="F93" s="184">
        <f>1.76265+5.835728</f>
        <v>7.5983779999999994</v>
      </c>
      <c r="G93" s="184">
        <f>2.01464+6.98715</f>
        <v>9.0017899999999997</v>
      </c>
      <c r="H93" s="184">
        <f>6.52521+2.39961+0.87768</f>
        <v>9.8025000000000002</v>
      </c>
      <c r="I93" s="184">
        <v>13.895</v>
      </c>
      <c r="J93" s="155">
        <v>13.69354</v>
      </c>
      <c r="K93" s="157">
        <v>14.83672</v>
      </c>
      <c r="L93" s="281">
        <v>14.78425</v>
      </c>
    </row>
    <row r="94" spans="1:12">
      <c r="A94" s="149" t="s">
        <v>190</v>
      </c>
      <c r="B94" s="179" t="s">
        <v>29</v>
      </c>
      <c r="C94" s="183">
        <v>0</v>
      </c>
      <c r="D94" s="183">
        <v>0</v>
      </c>
      <c r="E94" s="183">
        <v>0</v>
      </c>
      <c r="F94" s="183">
        <v>0</v>
      </c>
      <c r="G94" s="183">
        <v>0</v>
      </c>
      <c r="H94" s="183">
        <v>0</v>
      </c>
      <c r="I94" s="183">
        <v>0</v>
      </c>
      <c r="J94" s="155">
        <v>0</v>
      </c>
      <c r="K94" s="157">
        <v>4.9591500000000002</v>
      </c>
      <c r="L94" s="281">
        <v>14.78425</v>
      </c>
    </row>
    <row r="95" spans="1:12">
      <c r="A95" s="149" t="s">
        <v>191</v>
      </c>
      <c r="B95" s="147" t="s">
        <v>57</v>
      </c>
      <c r="C95" s="183">
        <f>5320.994658/1000</f>
        <v>5.320994658</v>
      </c>
      <c r="D95" s="183">
        <f>3105.813658/1000</f>
        <v>3.1058136580000002</v>
      </c>
      <c r="E95" s="183">
        <f>7774.6995/1000</f>
        <v>7.7746994999999997</v>
      </c>
      <c r="F95" s="183">
        <f>5477.97112/1000</f>
        <v>5.4779711200000003</v>
      </c>
      <c r="G95" s="183">
        <f>5275.5199/1000</f>
        <v>5.2755198999999999</v>
      </c>
      <c r="H95" s="183">
        <f>7078.83346/1000</f>
        <v>7.0788334600000002</v>
      </c>
      <c r="I95" s="183">
        <f>7897.4325 /1000</f>
        <v>7.8974324999999999</v>
      </c>
      <c r="J95" s="193">
        <f>7259.99/1000</f>
        <v>7.2599900000000002</v>
      </c>
      <c r="K95" s="171">
        <v>7.5368630000000003</v>
      </c>
      <c r="L95" s="171">
        <v>6.9964499</v>
      </c>
    </row>
    <row r="96" spans="1:12">
      <c r="A96" s="144"/>
      <c r="B96" s="182"/>
      <c r="C96" s="324" t="s">
        <v>179</v>
      </c>
      <c r="D96" s="325"/>
      <c r="E96" s="325"/>
      <c r="F96" s="325"/>
      <c r="G96" s="325"/>
      <c r="H96" s="325"/>
      <c r="I96" s="325"/>
      <c r="J96" s="325"/>
      <c r="K96" s="325"/>
      <c r="L96" s="326"/>
    </row>
    <row r="97" spans="1:12">
      <c r="A97" s="149" t="s">
        <v>189</v>
      </c>
      <c r="B97" s="179" t="s">
        <v>29</v>
      </c>
      <c r="C97" s="183">
        <v>0</v>
      </c>
      <c r="D97" s="183">
        <v>0</v>
      </c>
      <c r="E97" s="183">
        <v>0</v>
      </c>
      <c r="F97" s="183">
        <v>0</v>
      </c>
      <c r="G97" s="183">
        <v>0</v>
      </c>
      <c r="H97" s="183">
        <v>0</v>
      </c>
      <c r="I97" s="183">
        <v>0</v>
      </c>
      <c r="J97" s="183">
        <v>0</v>
      </c>
      <c r="K97" s="183">
        <v>0</v>
      </c>
      <c r="L97" s="183">
        <v>0</v>
      </c>
    </row>
    <row r="98" spans="1:12">
      <c r="A98" s="149" t="s">
        <v>190</v>
      </c>
      <c r="B98" s="179" t="s">
        <v>29</v>
      </c>
      <c r="C98" s="194"/>
      <c r="D98" s="194"/>
      <c r="E98" s="194"/>
      <c r="F98" s="194"/>
      <c r="G98" s="194"/>
      <c r="H98" s="194"/>
      <c r="I98" s="194"/>
      <c r="J98" s="195"/>
      <c r="K98" s="157">
        <v>0</v>
      </c>
      <c r="L98" s="157">
        <v>0</v>
      </c>
    </row>
    <row r="99" spans="1:12">
      <c r="A99" s="149" t="s">
        <v>191</v>
      </c>
      <c r="B99" s="179" t="s">
        <v>192</v>
      </c>
      <c r="C99" s="183">
        <v>0</v>
      </c>
      <c r="D99" s="183">
        <v>0</v>
      </c>
      <c r="E99" s="183">
        <v>0</v>
      </c>
      <c r="F99" s="183">
        <v>0</v>
      </c>
      <c r="G99" s="183">
        <v>0</v>
      </c>
      <c r="H99" s="183">
        <v>0</v>
      </c>
      <c r="I99" s="183">
        <v>0</v>
      </c>
      <c r="J99" s="183">
        <v>0</v>
      </c>
      <c r="K99" s="183">
        <v>0</v>
      </c>
      <c r="L99" s="183">
        <v>0</v>
      </c>
    </row>
    <row r="100" spans="1:12">
      <c r="A100" s="153"/>
      <c r="B100" s="196"/>
      <c r="C100" s="329" t="s">
        <v>180</v>
      </c>
      <c r="D100" s="328"/>
      <c r="E100" s="328"/>
      <c r="F100" s="328"/>
      <c r="G100" s="328"/>
      <c r="H100" s="328"/>
      <c r="I100" s="328"/>
      <c r="J100" s="328"/>
      <c r="K100" s="328"/>
      <c r="L100" s="326"/>
    </row>
    <row r="101" spans="1:12">
      <c r="A101" s="149" t="s">
        <v>189</v>
      </c>
      <c r="B101" s="179" t="s">
        <v>29</v>
      </c>
      <c r="C101" s="188">
        <f>(1050.46+51784.95+59570.85+51774.13+1071.93)/1000</f>
        <v>165.25231999999997</v>
      </c>
      <c r="D101" s="188">
        <f>72.11227+20.44493+35.97727+1.3128+1.05046+6.26434+42.37126+20.85126</f>
        <v>200.38459</v>
      </c>
      <c r="E101" s="188">
        <f>58.15409+1.0208+20.82562+28.3987+0.44033+5.91785+32.79662+25.35701</f>
        <v>172.91102000000001</v>
      </c>
      <c r="F101" s="188">
        <f>0.58329+65.58359+4.917812+31.70723+21.53411+18.82337+31.5665+0.281935</f>
        <v>174.997837</v>
      </c>
      <c r="G101" s="188">
        <f>4.8327+37.29376+24.18965+64.47312+17.71591+29.87348+0.21488</f>
        <v>178.59350000000001</v>
      </c>
      <c r="H101" s="188">
        <f>76.523574+5.14223+42.64378+18.95965+17.97901+27.6412+0.19838</f>
        <v>189.08782399999998</v>
      </c>
      <c r="I101" s="162">
        <f>85.03871+5.36721+31.29905+21.18038+20.42621+36.43879+0.13421</f>
        <v>199.88456000000002</v>
      </c>
      <c r="J101" s="197">
        <f>17.39078+0.33453+62.81746+8.05851+29.82336+4.96544+31.19527+17.20115</f>
        <v>171.78649999999999</v>
      </c>
      <c r="K101" s="157">
        <v>137.38588999999999</v>
      </c>
      <c r="L101" s="171">
        <v>173.67132000000001</v>
      </c>
    </row>
    <row r="102" spans="1:12">
      <c r="A102" s="149" t="s">
        <v>190</v>
      </c>
      <c r="B102" s="179" t="s">
        <v>29</v>
      </c>
      <c r="C102" s="180">
        <v>0</v>
      </c>
      <c r="D102" s="180">
        <v>0</v>
      </c>
      <c r="E102" s="180">
        <v>0</v>
      </c>
      <c r="F102" s="180">
        <v>0</v>
      </c>
      <c r="G102" s="180">
        <v>0</v>
      </c>
      <c r="H102" s="180">
        <v>0</v>
      </c>
      <c r="I102" s="183">
        <v>0</v>
      </c>
      <c r="J102" s="183">
        <v>0</v>
      </c>
      <c r="K102" s="157">
        <v>0</v>
      </c>
      <c r="L102" s="171">
        <v>173.67132000000001</v>
      </c>
    </row>
    <row r="103" spans="1:12">
      <c r="A103" s="149" t="s">
        <v>191</v>
      </c>
      <c r="B103" s="147" t="s">
        <v>57</v>
      </c>
      <c r="C103" s="188">
        <f>(32393.62+11123.62+16531.6)/1000</f>
        <v>60.048839999999998</v>
      </c>
      <c r="D103" s="188">
        <v>77.594920999999999</v>
      </c>
      <c r="E103" s="188">
        <v>69.903245999999996</v>
      </c>
      <c r="F103" s="188">
        <v>67.884163999999998</v>
      </c>
      <c r="G103" s="188">
        <v>70.036660999999995</v>
      </c>
      <c r="H103" s="188">
        <v>23.054696</v>
      </c>
      <c r="I103" s="188">
        <v>20.172758999999999</v>
      </c>
      <c r="J103" s="197">
        <v>16.303881000000001</v>
      </c>
      <c r="K103" s="157">
        <v>12.419810999999999</v>
      </c>
      <c r="L103" s="171">
        <v>6.5835239999999997</v>
      </c>
    </row>
    <row r="104" spans="1:12">
      <c r="A104" s="144"/>
      <c r="B104" s="182"/>
      <c r="C104" s="324" t="s">
        <v>181</v>
      </c>
      <c r="D104" s="325"/>
      <c r="E104" s="325"/>
      <c r="F104" s="325"/>
      <c r="G104" s="325"/>
      <c r="H104" s="325"/>
      <c r="I104" s="325"/>
      <c r="J104" s="325"/>
      <c r="K104" s="325"/>
      <c r="L104" s="326"/>
    </row>
    <row r="105" spans="1:12">
      <c r="A105" s="149" t="s">
        <v>189</v>
      </c>
      <c r="B105" s="179" t="s">
        <v>29</v>
      </c>
      <c r="C105" s="198">
        <v>1.7708999999999999</v>
      </c>
      <c r="D105" s="198">
        <v>1.7308319999999999</v>
      </c>
      <c r="E105" s="198">
        <v>1.1359999999999999</v>
      </c>
      <c r="F105" s="198">
        <v>0.88997000000000004</v>
      </c>
      <c r="G105" s="198">
        <v>1.17594</v>
      </c>
      <c r="H105" s="198">
        <v>1.1428100000000001</v>
      </c>
      <c r="I105" s="199">
        <v>0.91169</v>
      </c>
      <c r="J105" s="200">
        <v>0.14061999999999999</v>
      </c>
      <c r="K105" s="198">
        <v>0</v>
      </c>
      <c r="L105" s="198">
        <v>0</v>
      </c>
    </row>
    <row r="106" spans="1:12">
      <c r="A106" s="149" t="s">
        <v>190</v>
      </c>
      <c r="B106" s="179" t="s">
        <v>29</v>
      </c>
      <c r="C106" s="180">
        <v>0</v>
      </c>
      <c r="D106" s="180">
        <v>0</v>
      </c>
      <c r="E106" s="180">
        <v>0</v>
      </c>
      <c r="F106" s="180">
        <v>0</v>
      </c>
      <c r="G106" s="180">
        <v>0</v>
      </c>
      <c r="H106" s="180">
        <v>0</v>
      </c>
      <c r="I106" s="183">
        <v>0</v>
      </c>
      <c r="J106" s="193">
        <v>0</v>
      </c>
      <c r="K106" s="180">
        <v>0</v>
      </c>
      <c r="L106" s="180">
        <v>0</v>
      </c>
    </row>
    <row r="107" spans="1:12">
      <c r="A107" s="149" t="s">
        <v>191</v>
      </c>
      <c r="B107" s="147" t="s">
        <v>57</v>
      </c>
      <c r="C107" s="198">
        <v>2.4369999999999998</v>
      </c>
      <c r="D107" s="198">
        <v>9.0489999999999995</v>
      </c>
      <c r="E107" s="198">
        <v>4.1609999999999996</v>
      </c>
      <c r="F107" s="198">
        <v>1.286</v>
      </c>
      <c r="G107" s="198">
        <v>2.8860000000000001</v>
      </c>
      <c r="H107" s="198">
        <v>2.2559999999999998</v>
      </c>
      <c r="I107" s="201">
        <v>1.5329999999999999</v>
      </c>
      <c r="J107" s="202">
        <v>0.17699999999999999</v>
      </c>
      <c r="K107" s="198">
        <v>0</v>
      </c>
      <c r="L107" s="198">
        <v>0</v>
      </c>
    </row>
    <row r="108" spans="1:12">
      <c r="A108" s="266" t="s">
        <v>193</v>
      </c>
      <c r="B108" s="267" t="s">
        <v>169</v>
      </c>
      <c r="C108" s="267">
        <v>2011</v>
      </c>
      <c r="D108" s="267">
        <v>2012</v>
      </c>
      <c r="E108" s="267">
        <v>2013</v>
      </c>
      <c r="F108" s="267">
        <v>2014</v>
      </c>
      <c r="G108" s="267">
        <v>2015</v>
      </c>
      <c r="H108" s="267">
        <v>2016</v>
      </c>
      <c r="I108" s="267">
        <v>2017</v>
      </c>
      <c r="J108" s="267">
        <v>2018</v>
      </c>
      <c r="K108" s="267">
        <v>2019</v>
      </c>
      <c r="L108" s="267">
        <v>2020</v>
      </c>
    </row>
    <row r="109" spans="1:12" s="270" customFormat="1">
      <c r="A109" s="268"/>
      <c r="B109" s="269"/>
      <c r="C109" s="269"/>
      <c r="D109" s="269"/>
      <c r="E109" s="269"/>
      <c r="F109" s="269"/>
      <c r="G109" s="269"/>
      <c r="H109" s="269"/>
      <c r="I109" s="269"/>
      <c r="J109" s="269"/>
      <c r="K109" s="269"/>
    </row>
    <row r="110" spans="1:12">
      <c r="A110" s="271" t="s">
        <v>194</v>
      </c>
      <c r="B110" s="267"/>
      <c r="C110" s="340" t="s">
        <v>170</v>
      </c>
      <c r="D110" s="341"/>
      <c r="E110" s="341"/>
      <c r="F110" s="341"/>
      <c r="G110" s="341"/>
      <c r="H110" s="341"/>
      <c r="I110" s="341"/>
      <c r="J110" s="341"/>
      <c r="K110" s="341"/>
      <c r="L110" s="323"/>
    </row>
    <row r="111" spans="1:12">
      <c r="A111" s="149" t="s">
        <v>34</v>
      </c>
      <c r="B111" s="179" t="s">
        <v>195</v>
      </c>
      <c r="C111" s="203">
        <f t="shared" ref="C111:K111" si="11">C116+C121+C126+C133</f>
        <v>116.238332116</v>
      </c>
      <c r="D111" s="203">
        <f t="shared" si="11"/>
        <v>114.23450959099999</v>
      </c>
      <c r="E111" s="203">
        <f t="shared" si="11"/>
        <v>101.420346886</v>
      </c>
      <c r="F111" s="203">
        <f t="shared" si="11"/>
        <v>78.165236868999997</v>
      </c>
      <c r="G111" s="203">
        <f t="shared" si="11"/>
        <v>85.948204154999999</v>
      </c>
      <c r="H111" s="203">
        <f t="shared" si="11"/>
        <v>94.094365427999989</v>
      </c>
      <c r="I111" s="203">
        <f t="shared" si="11"/>
        <v>90.525083551999998</v>
      </c>
      <c r="J111" s="203">
        <f t="shared" si="11"/>
        <v>99.125104067000009</v>
      </c>
      <c r="K111" s="203">
        <f t="shared" si="11"/>
        <v>112.65724331200001</v>
      </c>
      <c r="L111" s="203">
        <f t="shared" ref="L111" si="12">L116+L121+L126+L133</f>
        <v>132.67406136299999</v>
      </c>
    </row>
    <row r="112" spans="1:12">
      <c r="A112" s="149" t="s">
        <v>196</v>
      </c>
      <c r="B112" s="179" t="s">
        <v>195</v>
      </c>
      <c r="C112" s="203">
        <f>3599399.2278/1000000</f>
        <v>3.5993992278000002</v>
      </c>
      <c r="D112" s="203">
        <f>3302908.034/1000000</f>
        <v>3.3029080340000001</v>
      </c>
      <c r="E112" s="203">
        <f>3542413.429/1000000</f>
        <v>3.5424134290000002</v>
      </c>
      <c r="F112" s="203">
        <f>3831532.39/1000000</f>
        <v>3.83153239</v>
      </c>
      <c r="G112" s="203">
        <f>167431.98/1000000</f>
        <v>0.16743198000000001</v>
      </c>
      <c r="H112" s="203">
        <f>282776.139/1000000</f>
        <v>0.28277613900000004</v>
      </c>
      <c r="I112" s="203">
        <f>254749.187/1000000</f>
        <v>0.25474918699999999</v>
      </c>
      <c r="J112" s="203">
        <f>177624.984/1000000</f>
        <v>0.17762498399999999</v>
      </c>
      <c r="K112" s="203">
        <f>K117+K122+K127+K134</f>
        <v>0.19868285299999999</v>
      </c>
      <c r="L112" s="203">
        <f>L117+L122+L127+L134</f>
        <v>0.18152459800000001</v>
      </c>
    </row>
    <row r="113" spans="1:12">
      <c r="A113" s="149" t="s">
        <v>197</v>
      </c>
      <c r="B113" s="179" t="s">
        <v>195</v>
      </c>
      <c r="C113" s="203">
        <f>C118+C123+C128+C135</f>
        <v>3.8834517059999998</v>
      </c>
      <c r="D113" s="203">
        <f t="shared" ref="D113:K113" si="13">D118+D123+D128+D135</f>
        <v>5.0028065959999992</v>
      </c>
      <c r="E113" s="203">
        <f t="shared" si="13"/>
        <v>1.7188739019999999</v>
      </c>
      <c r="F113" s="203">
        <f t="shared" si="13"/>
        <v>1.918268458</v>
      </c>
      <c r="G113" s="203">
        <f t="shared" si="13"/>
        <v>22.765653022000002</v>
      </c>
      <c r="H113" s="203">
        <f t="shared" si="13"/>
        <v>37.241828631999994</v>
      </c>
      <c r="I113" s="203">
        <f t="shared" si="13"/>
        <v>32.669492482999999</v>
      </c>
      <c r="J113" s="203">
        <f t="shared" si="13"/>
        <v>24.250578450999999</v>
      </c>
      <c r="K113" s="203">
        <f t="shared" si="13"/>
        <v>22.868749910000002</v>
      </c>
      <c r="L113" s="203">
        <f t="shared" ref="L113" si="14">L118+L123+L128+L135</f>
        <v>21.877032248999999</v>
      </c>
    </row>
    <row r="114" spans="1:12">
      <c r="A114" s="149" t="s">
        <v>198</v>
      </c>
      <c r="B114" s="179" t="s">
        <v>195</v>
      </c>
      <c r="C114" s="203">
        <f>C119+C124+C130+C136</f>
        <v>112.311556247</v>
      </c>
      <c r="D114" s="203">
        <f t="shared" ref="D114:K114" si="15">D119+D124+D130+D136</f>
        <v>109.105572833</v>
      </c>
      <c r="E114" s="203">
        <f t="shared" si="15"/>
        <v>99.700568295000011</v>
      </c>
      <c r="F114" s="203">
        <f t="shared" si="15"/>
        <v>74.996298240000002</v>
      </c>
      <c r="G114" s="203">
        <f t="shared" si="15"/>
        <v>63.097709386999995</v>
      </c>
      <c r="H114" s="203">
        <f t="shared" si="15"/>
        <v>56.816281222999997</v>
      </c>
      <c r="I114" s="203">
        <f t="shared" si="15"/>
        <v>57.811281921999999</v>
      </c>
      <c r="J114" s="203">
        <f t="shared" si="15"/>
        <v>74.783208543000001</v>
      </c>
      <c r="K114" s="203">
        <f t="shared" si="15"/>
        <v>89.793664933999992</v>
      </c>
      <c r="L114" s="203">
        <f t="shared" ref="L114" si="16">L119+L124+L130+L136</f>
        <v>110.771883553</v>
      </c>
    </row>
    <row r="115" spans="1:12">
      <c r="A115" s="153"/>
      <c r="B115" s="196"/>
      <c r="C115" s="321" t="s">
        <v>178</v>
      </c>
      <c r="D115" s="322"/>
      <c r="E115" s="322"/>
      <c r="F115" s="322"/>
      <c r="G115" s="322"/>
      <c r="H115" s="322"/>
      <c r="I115" s="322"/>
      <c r="J115" s="322"/>
      <c r="K115" s="322"/>
      <c r="L115" s="323"/>
    </row>
    <row r="116" spans="1:12">
      <c r="A116" s="149" t="s">
        <v>34</v>
      </c>
      <c r="B116" s="179" t="s">
        <v>195</v>
      </c>
      <c r="C116" s="204">
        <v>4.2496989320000003</v>
      </c>
      <c r="D116" s="204">
        <v>1.955892679</v>
      </c>
      <c r="E116" s="204">
        <v>4.099355299</v>
      </c>
      <c r="F116" s="204">
        <v>4.3721499899999996</v>
      </c>
      <c r="G116" s="204">
        <v>4.8061804769999998</v>
      </c>
      <c r="H116" s="204">
        <v>5.2598153429999996</v>
      </c>
      <c r="I116" s="204">
        <v>5.8109104550000001</v>
      </c>
      <c r="J116" s="155">
        <v>5.7985217530000002</v>
      </c>
      <c r="K116" s="205">
        <v>6.0207222959999998</v>
      </c>
      <c r="L116" s="282">
        <v>6.1535657510000004</v>
      </c>
    </row>
    <row r="117" spans="1:12">
      <c r="A117" s="149" t="s">
        <v>196</v>
      </c>
      <c r="B117" s="179" t="s">
        <v>195</v>
      </c>
      <c r="C117" s="204">
        <f>105337.3128/1000000</f>
        <v>0.1053373128</v>
      </c>
      <c r="D117" s="204">
        <f>70266.249/1000000</f>
        <v>7.0266249000000003E-2</v>
      </c>
      <c r="E117" s="204">
        <f>92105.559/1000000</f>
        <v>9.210555899999999E-2</v>
      </c>
      <c r="F117" s="204">
        <f>73754.19/1000000</f>
        <v>7.3754189999999997E-2</v>
      </c>
      <c r="G117" s="204">
        <f>48718.253/1000000</f>
        <v>4.8718252999999996E-2</v>
      </c>
      <c r="H117" s="204">
        <f>132844.686/1000000</f>
        <v>0.13284468599999999</v>
      </c>
      <c r="I117" s="204">
        <f>96151.355/1000000</f>
        <v>9.6151354999999994E-2</v>
      </c>
      <c r="J117" s="155">
        <f>46568.5339999999/1000000</f>
        <v>4.6568533999999898E-2</v>
      </c>
      <c r="K117" s="205">
        <v>7.3925416999999993E-2</v>
      </c>
      <c r="L117" s="282">
        <v>5.8932450999999997E-2</v>
      </c>
    </row>
    <row r="118" spans="1:12">
      <c r="A118" s="149" t="s">
        <v>197</v>
      </c>
      <c r="B118" s="179" t="s">
        <v>195</v>
      </c>
      <c r="C118" s="204">
        <v>0.51479950399999996</v>
      </c>
      <c r="D118" s="204">
        <v>1.0898563729999999</v>
      </c>
      <c r="E118" s="204">
        <v>0.507517251</v>
      </c>
      <c r="F118" s="204">
        <v>1.107242133</v>
      </c>
      <c r="G118" s="204">
        <v>2.411599641</v>
      </c>
      <c r="H118" s="204">
        <v>2.73861657</v>
      </c>
      <c r="I118" s="204">
        <v>3.0135241399999999</v>
      </c>
      <c r="J118" s="155">
        <v>2.9704114270000002</v>
      </c>
      <c r="K118" s="205">
        <v>3.1951926149999998</v>
      </c>
      <c r="L118" s="282">
        <v>3.2324253650000001</v>
      </c>
    </row>
    <row r="119" spans="1:12">
      <c r="A119" s="149" t="s">
        <v>198</v>
      </c>
      <c r="B119" s="179" t="s">
        <v>195</v>
      </c>
      <c r="C119" s="204">
        <v>3.6773050129999998</v>
      </c>
      <c r="D119" s="204">
        <v>0.83579447500000004</v>
      </c>
      <c r="E119" s="204">
        <v>3.560897615</v>
      </c>
      <c r="F119" s="204">
        <v>3.228470476</v>
      </c>
      <c r="G119" s="204">
        <v>2.3435568500000001</v>
      </c>
      <c r="H119" s="204">
        <v>2.5039384349999998</v>
      </c>
      <c r="I119" s="204">
        <v>2.7786414000000002</v>
      </c>
      <c r="J119" s="155">
        <v>2.7671448519999999</v>
      </c>
      <c r="K119" s="205">
        <v>2.8563565870000001</v>
      </c>
      <c r="L119" s="282">
        <v>2.9126099000000001</v>
      </c>
    </row>
    <row r="120" spans="1:12">
      <c r="A120" s="153"/>
      <c r="B120" s="196"/>
      <c r="C120" s="324" t="s">
        <v>179</v>
      </c>
      <c r="D120" s="325"/>
      <c r="E120" s="325"/>
      <c r="F120" s="325"/>
      <c r="G120" s="325"/>
      <c r="H120" s="325"/>
      <c r="I120" s="325"/>
      <c r="J120" s="325"/>
      <c r="K120" s="325"/>
      <c r="L120" s="326"/>
    </row>
    <row r="121" spans="1:12">
      <c r="A121" s="149" t="s">
        <v>34</v>
      </c>
      <c r="B121" s="179" t="s">
        <v>195</v>
      </c>
      <c r="C121" s="204">
        <v>3.4676419620000001</v>
      </c>
      <c r="D121" s="204">
        <v>3.2035038309999999</v>
      </c>
      <c r="E121" s="204">
        <v>3.4183774420000002</v>
      </c>
      <c r="F121" s="204">
        <v>3.7329912040000002</v>
      </c>
      <c r="G121" s="204">
        <v>3.2549188670000002</v>
      </c>
      <c r="H121" s="204">
        <v>4.3374810659999996</v>
      </c>
      <c r="I121" s="204">
        <v>4.8018948510000001</v>
      </c>
      <c r="J121" s="206">
        <v>4.9098406409999997</v>
      </c>
      <c r="K121" s="157">
        <v>5.3216937160000004</v>
      </c>
      <c r="L121" s="205">
        <v>5.4394173820000002</v>
      </c>
    </row>
    <row r="122" spans="1:12">
      <c r="A122" s="149" t="s">
        <v>196</v>
      </c>
      <c r="B122" s="179" t="s">
        <v>195</v>
      </c>
      <c r="C122" s="204">
        <f>3467209.678/1000000</f>
        <v>3.4672096779999997</v>
      </c>
      <c r="D122" s="204">
        <f>3202989.376/1000000</f>
        <v>3.2029893760000001</v>
      </c>
      <c r="E122" s="204">
        <f>3417850.265/1000000</f>
        <v>3.4178502650000002</v>
      </c>
      <c r="F122" s="204">
        <f>3731906.23/1000000</f>
        <v>3.7319062299999999</v>
      </c>
      <c r="G122" s="204">
        <f>110387.483/1000000</f>
        <v>0.11038748299999999</v>
      </c>
      <c r="H122" s="204">
        <f>145298.817/1000000</f>
        <v>0.145298817</v>
      </c>
      <c r="I122" s="204">
        <f>154847.358/1000000</f>
        <v>0.15484735800000002</v>
      </c>
      <c r="J122" s="206">
        <f>123512.981/1000000</f>
        <v>0.12351298099999999</v>
      </c>
      <c r="K122" s="207">
        <v>0.116020098</v>
      </c>
      <c r="L122" s="205">
        <v>0.102016782</v>
      </c>
    </row>
    <row r="123" spans="1:12">
      <c r="A123" s="149" t="s">
        <v>197</v>
      </c>
      <c r="B123" s="179" t="s">
        <v>195</v>
      </c>
      <c r="C123" s="204">
        <v>8.0909999999999996E-5</v>
      </c>
      <c r="D123" s="204">
        <v>3.9525200000000002E-3</v>
      </c>
      <c r="E123" s="204">
        <v>2.0683627999999999E-2</v>
      </c>
      <c r="F123" s="204">
        <v>5.4350650000000002E-3</v>
      </c>
      <c r="G123" s="204">
        <v>1.0387492E-2</v>
      </c>
      <c r="H123" s="204">
        <v>1.5419662000000001E-2</v>
      </c>
      <c r="I123" s="204">
        <v>2.2311843000000001E-2</v>
      </c>
      <c r="J123" s="206">
        <v>6.0990239999999998E-3</v>
      </c>
      <c r="K123" s="157">
        <v>1.6580294999999998E-2</v>
      </c>
      <c r="L123" s="205">
        <v>3.584884E-3</v>
      </c>
    </row>
    <row r="124" spans="1:12">
      <c r="A124" s="149" t="s">
        <v>198</v>
      </c>
      <c r="B124" s="179" t="s">
        <v>195</v>
      </c>
      <c r="C124" s="204">
        <v>3.4582290040000001</v>
      </c>
      <c r="D124" s="204">
        <v>3.2000759250000002</v>
      </c>
      <c r="E124" s="204">
        <v>3.4100577799999998</v>
      </c>
      <c r="F124" s="204">
        <v>2.4923670439999999</v>
      </c>
      <c r="G124" s="204">
        <v>3.2410105969999998</v>
      </c>
      <c r="H124" s="204">
        <v>4.3183371480000003</v>
      </c>
      <c r="I124" s="204">
        <v>4.7804921619999998</v>
      </c>
      <c r="J124" s="206">
        <v>4.8986126910000003</v>
      </c>
      <c r="K124" s="157">
        <v>5.302285747</v>
      </c>
      <c r="L124" s="205">
        <v>5.4337036530000002</v>
      </c>
    </row>
    <row r="125" spans="1:12">
      <c r="A125" s="153"/>
      <c r="B125" s="196"/>
      <c r="C125" s="329" t="s">
        <v>180</v>
      </c>
      <c r="D125" s="328"/>
      <c r="E125" s="328"/>
      <c r="F125" s="328"/>
      <c r="G125" s="328"/>
      <c r="H125" s="328"/>
      <c r="I125" s="328"/>
      <c r="J125" s="328"/>
      <c r="K125" s="328"/>
      <c r="L125" s="326"/>
    </row>
    <row r="126" spans="1:12">
      <c r="A126" s="149" t="s">
        <v>34</v>
      </c>
      <c r="B126" s="179" t="s">
        <v>195</v>
      </c>
      <c r="C126" s="208">
        <v>108.518991222</v>
      </c>
      <c r="D126" s="208">
        <v>109.073113081</v>
      </c>
      <c r="E126" s="208">
        <v>93.900614145000006</v>
      </c>
      <c r="F126" s="208">
        <v>70.058095675000004</v>
      </c>
      <c r="G126" s="208">
        <v>77.885104811000005</v>
      </c>
      <c r="H126" s="208">
        <v>84.495069018999999</v>
      </c>
      <c r="I126" s="209">
        <v>79.910278246000004</v>
      </c>
      <c r="J126" s="208">
        <f>84.25036589+4.163375783</f>
        <v>88.413741673000004</v>
      </c>
      <c r="K126" s="157">
        <v>101.3134381</v>
      </c>
      <c r="L126" s="277">
        <v>121.06196663999999</v>
      </c>
    </row>
    <row r="127" spans="1:12">
      <c r="A127" s="149" t="s">
        <v>196</v>
      </c>
      <c r="B127" s="179" t="s">
        <v>195</v>
      </c>
      <c r="C127" s="208">
        <f>26015.231/1000000</f>
        <v>2.6015231E-2</v>
      </c>
      <c r="D127" s="208">
        <f>29053.202/1000000</f>
        <v>2.9053202E-2</v>
      </c>
      <c r="E127" s="208">
        <f>31900.049/1000000</f>
        <v>3.1900049E-2</v>
      </c>
      <c r="F127" s="208">
        <f>25147.185/1000000</f>
        <v>2.5147185000000002E-2</v>
      </c>
      <c r="G127" s="208">
        <f>7856.833/1000000</f>
        <v>7.8568329999999988E-3</v>
      </c>
      <c r="H127" s="208">
        <f>4321.402/1000000</f>
        <v>4.3214020000000002E-3</v>
      </c>
      <c r="I127" s="209">
        <f>3229.566/1000000</f>
        <v>3.2295659999999997E-3</v>
      </c>
      <c r="J127" s="208">
        <f>6948.144/1000000</f>
        <v>6.9481439999999998E-3</v>
      </c>
      <c r="K127" s="207">
        <v>7.3920380000000001E-3</v>
      </c>
      <c r="L127" s="277">
        <v>3.8375750000000002E-3</v>
      </c>
    </row>
    <row r="128" spans="1:12">
      <c r="A128" s="149" t="s">
        <v>199</v>
      </c>
      <c r="B128" s="179" t="s">
        <v>195</v>
      </c>
      <c r="C128" s="210">
        <v>3.3685712919999999</v>
      </c>
      <c r="D128" s="210">
        <v>3.9089977029999998</v>
      </c>
      <c r="E128" s="210">
        <v>1.190673023</v>
      </c>
      <c r="F128" s="210">
        <v>0.80559126000000003</v>
      </c>
      <c r="G128" s="210">
        <v>20.343665889</v>
      </c>
      <c r="H128" s="210">
        <v>34.487792399999996</v>
      </c>
      <c r="I128" s="211">
        <v>29.633656500000001</v>
      </c>
      <c r="J128" s="212">
        <v>21.274068</v>
      </c>
      <c r="K128" s="157">
        <v>19.656977000000001</v>
      </c>
      <c r="L128" s="283">
        <v>18.641022</v>
      </c>
    </row>
    <row r="129" spans="1:13">
      <c r="A129" s="149" t="s">
        <v>200</v>
      </c>
      <c r="B129" s="179" t="s">
        <v>195</v>
      </c>
      <c r="C129" s="210">
        <v>3.3618999999999999</v>
      </c>
      <c r="D129" s="210">
        <v>3.9068999999999998</v>
      </c>
      <c r="E129" s="210">
        <v>1.1891290000000001</v>
      </c>
      <c r="F129" s="210">
        <v>0.80525400000000003</v>
      </c>
      <c r="G129" s="210">
        <f>17.545825+1.499+1.298519</f>
        <v>20.343343999999998</v>
      </c>
      <c r="H129" s="210">
        <v>34.487792399999996</v>
      </c>
      <c r="I129" s="211">
        <v>29.633656500000001</v>
      </c>
      <c r="J129" s="212">
        <v>21.274068</v>
      </c>
      <c r="K129" s="157">
        <v>19.656977000000001</v>
      </c>
      <c r="L129" s="283">
        <v>18.641022</v>
      </c>
    </row>
    <row r="130" spans="1:13">
      <c r="A130" s="149" t="s">
        <v>201</v>
      </c>
      <c r="B130" s="179" t="s">
        <v>195</v>
      </c>
      <c r="C130" s="210">
        <v>105.17602223</v>
      </c>
      <c r="D130" s="210">
        <v>105.069702433</v>
      </c>
      <c r="E130" s="210">
        <v>92.729612900000006</v>
      </c>
      <c r="F130" s="210">
        <v>69.275460719999998</v>
      </c>
      <c r="G130" s="210">
        <v>57.513141939999997</v>
      </c>
      <c r="H130" s="210">
        <v>49.994005639999997</v>
      </c>
      <c r="I130" s="213">
        <v>50.25214836</v>
      </c>
      <c r="J130" s="212">
        <v>67.117451000000003</v>
      </c>
      <c r="K130" s="157">
        <v>81.635022599999999</v>
      </c>
      <c r="L130" s="284">
        <v>102.42556999999999</v>
      </c>
    </row>
    <row r="131" spans="1:13">
      <c r="A131" s="149" t="s">
        <v>202</v>
      </c>
      <c r="B131" s="179" t="s">
        <v>195</v>
      </c>
      <c r="C131" s="210">
        <f>88.5851+16.529191</f>
        <v>105.11429099999999</v>
      </c>
      <c r="D131" s="210">
        <f>87.6915+17.312564</f>
        <v>105.004064</v>
      </c>
      <c r="E131" s="210">
        <f>75.477925+17.177944</f>
        <v>92.655868999999996</v>
      </c>
      <c r="F131" s="210">
        <f>F130-0.0005563</f>
        <v>69.274904419999999</v>
      </c>
      <c r="G131" s="210">
        <f>G130-0.0000708</f>
        <v>57.513071139999994</v>
      </c>
      <c r="H131" s="210">
        <f>H130-0.000194</f>
        <v>49.993811639999997</v>
      </c>
      <c r="I131" s="213">
        <f>I130-0.0000909</f>
        <v>50.252057460000003</v>
      </c>
      <c r="J131" s="212">
        <v>67.117451000000003</v>
      </c>
      <c r="K131" s="157">
        <v>81.635022599999999</v>
      </c>
      <c r="L131" s="284">
        <v>102.4023514</v>
      </c>
    </row>
    <row r="132" spans="1:13">
      <c r="A132" s="144"/>
      <c r="B132" s="182"/>
      <c r="C132" s="324" t="s">
        <v>181</v>
      </c>
      <c r="D132" s="325"/>
      <c r="E132" s="325"/>
      <c r="F132" s="325"/>
      <c r="G132" s="325"/>
      <c r="H132" s="325"/>
      <c r="I132" s="325"/>
      <c r="J132" s="325"/>
      <c r="K132" s="325"/>
      <c r="L132" s="326"/>
    </row>
    <row r="133" spans="1:13">
      <c r="A133" s="149" t="s">
        <v>34</v>
      </c>
      <c r="B133" s="179" t="s">
        <v>195</v>
      </c>
      <c r="C133" s="214">
        <v>2E-3</v>
      </c>
      <c r="D133" s="214">
        <v>2E-3</v>
      </c>
      <c r="E133" s="214">
        <v>2E-3</v>
      </c>
      <c r="F133" s="214">
        <v>2E-3</v>
      </c>
      <c r="G133" s="214">
        <v>2E-3</v>
      </c>
      <c r="H133" s="214">
        <v>2E-3</v>
      </c>
      <c r="I133" s="214">
        <v>2E-3</v>
      </c>
      <c r="J133" s="155">
        <v>3.0000000000000001E-3</v>
      </c>
      <c r="K133" s="157">
        <v>1.3891999999999999E-3</v>
      </c>
      <c r="L133" s="157">
        <v>1.9111590000000001E-2</v>
      </c>
    </row>
    <row r="134" spans="1:13">
      <c r="A134" s="149" t="s">
        <v>196</v>
      </c>
      <c r="B134" s="179" t="s">
        <v>195</v>
      </c>
      <c r="C134" s="214">
        <f>837.006/1000000</f>
        <v>8.3700599999999995E-4</v>
      </c>
      <c r="D134" s="214">
        <f>599.207/1000000</f>
        <v>5.9920700000000004E-4</v>
      </c>
      <c r="E134" s="214">
        <f>557.556/1000000</f>
        <v>5.5755600000000007E-4</v>
      </c>
      <c r="F134" s="214">
        <f>724.785/1000000</f>
        <v>7.2478499999999993E-4</v>
      </c>
      <c r="G134" s="214">
        <f>469.411/1000000</f>
        <v>4.6941099999999998E-4</v>
      </c>
      <c r="H134" s="214">
        <f>311.234/1000000</f>
        <v>3.1123399999999997E-4</v>
      </c>
      <c r="I134" s="214">
        <f>520.908/1000000</f>
        <v>5.2090800000000005E-4</v>
      </c>
      <c r="J134" s="215">
        <f>595.325/1000000</f>
        <v>5.9532500000000006E-4</v>
      </c>
      <c r="K134" s="216">
        <v>1.3453E-3</v>
      </c>
      <c r="L134" s="157">
        <v>1.6737789999999999E-2</v>
      </c>
    </row>
    <row r="135" spans="1:13">
      <c r="A135" s="149" t="s">
        <v>197</v>
      </c>
      <c r="B135" s="179" t="s">
        <v>195</v>
      </c>
      <c r="C135" s="217">
        <v>0</v>
      </c>
      <c r="D135" s="217">
        <v>0</v>
      </c>
      <c r="E135" s="217">
        <v>0</v>
      </c>
      <c r="F135" s="217">
        <v>0</v>
      </c>
      <c r="G135" s="217">
        <v>0</v>
      </c>
      <c r="H135" s="217">
        <v>0</v>
      </c>
      <c r="I135" s="217">
        <v>0</v>
      </c>
      <c r="J135" s="155">
        <v>0</v>
      </c>
      <c r="K135" s="217">
        <v>0</v>
      </c>
      <c r="L135" s="157">
        <v>0</v>
      </c>
    </row>
    <row r="136" spans="1:13">
      <c r="A136" s="149" t="s">
        <v>198</v>
      </c>
      <c r="B136" s="179" t="s">
        <v>195</v>
      </c>
      <c r="C136" s="217">
        <v>0</v>
      </c>
      <c r="D136" s="217">
        <v>0</v>
      </c>
      <c r="E136" s="217">
        <v>0</v>
      </c>
      <c r="F136" s="217">
        <v>0</v>
      </c>
      <c r="G136" s="217">
        <v>0</v>
      </c>
      <c r="H136" s="217">
        <v>0</v>
      </c>
      <c r="I136" s="217">
        <v>0</v>
      </c>
      <c r="J136" s="155">
        <v>0</v>
      </c>
      <c r="K136" s="217">
        <v>0</v>
      </c>
      <c r="L136" s="157">
        <v>0</v>
      </c>
    </row>
    <row r="137" spans="1:13">
      <c r="A137" s="271" t="s">
        <v>203</v>
      </c>
      <c r="B137" s="271"/>
      <c r="C137" s="330" t="s">
        <v>170</v>
      </c>
      <c r="D137" s="331"/>
      <c r="E137" s="331"/>
      <c r="F137" s="331"/>
      <c r="G137" s="331"/>
      <c r="H137" s="331"/>
      <c r="I137" s="331"/>
      <c r="J137" s="331"/>
      <c r="K137" s="331"/>
      <c r="L137" s="332"/>
    </row>
    <row r="138" spans="1:13">
      <c r="A138" s="149" t="s">
        <v>204</v>
      </c>
      <c r="B138" s="179" t="s">
        <v>205</v>
      </c>
      <c r="C138" s="203">
        <v>538713.19000000006</v>
      </c>
      <c r="D138" s="203">
        <v>520223.61300000001</v>
      </c>
      <c r="E138" s="203">
        <v>540406.69499999995</v>
      </c>
      <c r="F138" s="203">
        <v>328256.50800000003</v>
      </c>
      <c r="G138" s="203">
        <v>51957.616999999998</v>
      </c>
      <c r="H138" s="203">
        <v>75677.350999999995</v>
      </c>
      <c r="I138" s="203">
        <v>67086.125</v>
      </c>
      <c r="J138" s="203">
        <v>47631.146999999997</v>
      </c>
      <c r="K138" s="218">
        <f>K140+K142+K144+K146</f>
        <v>68596.896300000008</v>
      </c>
      <c r="L138" s="218">
        <f>L140+L142+L144+L146</f>
        <v>68304.089479999995</v>
      </c>
    </row>
    <row r="139" spans="1:13">
      <c r="A139" s="153"/>
      <c r="B139" s="219"/>
      <c r="C139" s="321" t="s">
        <v>178</v>
      </c>
      <c r="D139" s="322"/>
      <c r="E139" s="322"/>
      <c r="F139" s="322"/>
      <c r="G139" s="322"/>
      <c r="H139" s="322"/>
      <c r="I139" s="322"/>
      <c r="J139" s="322"/>
      <c r="K139" s="322"/>
      <c r="L139" s="323"/>
    </row>
    <row r="140" spans="1:13">
      <c r="A140" s="149" t="s">
        <v>204</v>
      </c>
      <c r="B140" s="179" t="s">
        <v>205</v>
      </c>
      <c r="C140" s="203">
        <v>507140.35200000001</v>
      </c>
      <c r="D140" s="203">
        <v>509131.886</v>
      </c>
      <c r="E140" s="203">
        <v>496538.88899999997</v>
      </c>
      <c r="F140" s="203">
        <v>309308.005</v>
      </c>
      <c r="G140" s="203">
        <v>31592.12</v>
      </c>
      <c r="H140" s="203">
        <v>50168.192999999999</v>
      </c>
      <c r="I140" s="203">
        <v>40135.707999999999</v>
      </c>
      <c r="J140" s="203">
        <v>40438.747999999992</v>
      </c>
      <c r="K140" s="203">
        <v>50042.458299999998</v>
      </c>
      <c r="L140" s="286">
        <v>48299.131000000001</v>
      </c>
      <c r="M140" s="220"/>
    </row>
    <row r="141" spans="1:13">
      <c r="A141" s="153"/>
      <c r="B141" s="219"/>
      <c r="C141" s="324" t="s">
        <v>179</v>
      </c>
      <c r="D141" s="325"/>
      <c r="E141" s="325"/>
      <c r="F141" s="325"/>
      <c r="G141" s="325"/>
      <c r="H141" s="325"/>
      <c r="I141" s="325"/>
      <c r="J141" s="325"/>
      <c r="K141" s="325"/>
      <c r="L141" s="326"/>
    </row>
    <row r="142" spans="1:13">
      <c r="A142" s="149" t="s">
        <v>204</v>
      </c>
      <c r="B142" s="179" t="s">
        <v>205</v>
      </c>
      <c r="C142" s="203">
        <v>22249.966</v>
      </c>
      <c r="D142" s="203">
        <v>9028.2119999999995</v>
      </c>
      <c r="E142" s="203">
        <v>40332.481</v>
      </c>
      <c r="F142" s="203">
        <v>17086.614999999998</v>
      </c>
      <c r="G142" s="203">
        <v>15519.670000000002</v>
      </c>
      <c r="H142" s="203">
        <v>23619.701000000001</v>
      </c>
      <c r="I142" s="203">
        <v>26028.403000000002</v>
      </c>
      <c r="J142" s="203">
        <v>6985.2760000000007</v>
      </c>
      <c r="K142" s="221">
        <v>16630.47</v>
      </c>
      <c r="L142" s="286">
        <v>3636.7919999999999</v>
      </c>
    </row>
    <row r="143" spans="1:13">
      <c r="A143" s="153"/>
      <c r="B143" s="219"/>
      <c r="C143" s="327" t="s">
        <v>180</v>
      </c>
      <c r="D143" s="328"/>
      <c r="E143" s="328"/>
      <c r="F143" s="328"/>
      <c r="G143" s="328"/>
      <c r="H143" s="328"/>
      <c r="I143" s="328"/>
      <c r="J143" s="328"/>
      <c r="K143" s="328"/>
      <c r="L143" s="326"/>
    </row>
    <row r="144" spans="1:13">
      <c r="A144" s="149" t="s">
        <v>204</v>
      </c>
      <c r="B144" s="179" t="s">
        <v>205</v>
      </c>
      <c r="C144" s="222">
        <v>9291.4410000000007</v>
      </c>
      <c r="D144" s="222">
        <v>2051.5390000000002</v>
      </c>
      <c r="E144" s="222">
        <v>3528.415</v>
      </c>
      <c r="F144" s="222">
        <v>1860.9979999999998</v>
      </c>
      <c r="G144" s="222">
        <v>4840.7049999999999</v>
      </c>
      <c r="H144" s="222">
        <v>1785.626</v>
      </c>
      <c r="I144" s="222">
        <v>921.66599999999994</v>
      </c>
      <c r="J144" s="222">
        <v>206.69800000000001</v>
      </c>
      <c r="K144" s="221">
        <v>1923.6679999999999</v>
      </c>
      <c r="L144" s="287">
        <v>976.57547999999997</v>
      </c>
    </row>
    <row r="145" spans="1:12">
      <c r="A145" s="144"/>
      <c r="B145" s="145"/>
      <c r="C145" s="324" t="s">
        <v>181</v>
      </c>
      <c r="D145" s="325"/>
      <c r="E145" s="325"/>
      <c r="F145" s="325"/>
      <c r="G145" s="325"/>
      <c r="H145" s="325"/>
      <c r="I145" s="325"/>
      <c r="J145" s="325"/>
      <c r="K145" s="325"/>
      <c r="L145" s="326"/>
    </row>
    <row r="146" spans="1:12">
      <c r="A146" s="149" t="s">
        <v>204</v>
      </c>
      <c r="B146" s="223" t="s">
        <v>205</v>
      </c>
      <c r="C146" s="203">
        <v>31.431000000000001</v>
      </c>
      <c r="D146" s="203">
        <v>11.976000000000001</v>
      </c>
      <c r="E146" s="203">
        <v>6.91</v>
      </c>
      <c r="F146" s="203">
        <v>0.89</v>
      </c>
      <c r="G146" s="203">
        <v>5.1219999999999999</v>
      </c>
      <c r="H146" s="203">
        <v>103.831</v>
      </c>
      <c r="I146" s="203">
        <v>0.34799999999999998</v>
      </c>
      <c r="J146" s="203">
        <v>0.42499999999999999</v>
      </c>
      <c r="K146" s="221">
        <v>0.3</v>
      </c>
      <c r="L146" s="287">
        <v>15391.591</v>
      </c>
    </row>
    <row r="147" spans="1:12">
      <c r="A147" s="224"/>
      <c r="B147" s="179"/>
      <c r="C147" s="225"/>
      <c r="D147" s="226"/>
      <c r="E147" s="226"/>
      <c r="F147" s="226"/>
      <c r="G147" s="226"/>
      <c r="H147" s="226"/>
      <c r="I147" s="227"/>
      <c r="J147" s="228"/>
      <c r="K147" s="229"/>
    </row>
    <row r="148" spans="1:12">
      <c r="A148" s="266" t="s">
        <v>206</v>
      </c>
      <c r="B148" s="267" t="s">
        <v>169</v>
      </c>
      <c r="C148" s="267">
        <v>2011</v>
      </c>
      <c r="D148" s="267">
        <v>2012</v>
      </c>
      <c r="E148" s="267">
        <v>2013</v>
      </c>
      <c r="F148" s="267">
        <v>2014</v>
      </c>
      <c r="G148" s="267">
        <v>2015</v>
      </c>
      <c r="H148" s="267">
        <v>2016</v>
      </c>
      <c r="I148" s="267">
        <v>2017</v>
      </c>
      <c r="J148" s="267">
        <v>2018</v>
      </c>
      <c r="K148" s="267">
        <v>2019</v>
      </c>
      <c r="L148" s="267">
        <v>2020</v>
      </c>
    </row>
    <row r="149" spans="1:12" s="270" customFormat="1">
      <c r="A149" s="268"/>
      <c r="B149" s="269"/>
      <c r="C149" s="269"/>
      <c r="D149" s="269"/>
      <c r="E149" s="269"/>
      <c r="F149" s="269"/>
      <c r="G149" s="269"/>
      <c r="H149" s="269"/>
      <c r="I149" s="269"/>
      <c r="J149" s="269"/>
      <c r="K149" s="269"/>
    </row>
    <row r="150" spans="1:12">
      <c r="A150" s="271" t="s">
        <v>207</v>
      </c>
      <c r="B150" s="271"/>
      <c r="C150" s="340" t="s">
        <v>170</v>
      </c>
      <c r="D150" s="340"/>
      <c r="E150" s="340"/>
      <c r="F150" s="340"/>
      <c r="G150" s="340"/>
      <c r="H150" s="340"/>
      <c r="I150" s="340"/>
      <c r="J150" s="340"/>
      <c r="K150" s="340"/>
      <c r="L150" s="323"/>
    </row>
    <row r="151" spans="1:12">
      <c r="A151" s="230" t="s">
        <v>208</v>
      </c>
      <c r="B151" s="7" t="s">
        <v>209</v>
      </c>
      <c r="C151" s="231">
        <f t="shared" ref="C151:I152" si="17">C158+C165+C172+C179</f>
        <v>3263395.2624399997</v>
      </c>
      <c r="D151" s="231">
        <f t="shared" si="17"/>
        <v>2742198.1792299999</v>
      </c>
      <c r="E151" s="231">
        <f t="shared" si="17"/>
        <v>4499542.7472999999</v>
      </c>
      <c r="F151" s="231">
        <f t="shared" si="17"/>
        <v>3960758.7929000002</v>
      </c>
      <c r="G151" s="231">
        <f t="shared" si="17"/>
        <v>3441405.2891400005</v>
      </c>
      <c r="H151" s="231">
        <f t="shared" si="17"/>
        <v>4024455.7539300001</v>
      </c>
      <c r="I151" s="231">
        <f t="shared" si="17"/>
        <v>5089616.2581900004</v>
      </c>
      <c r="J151" s="231">
        <f>J152+J153+J154+J155+J156</f>
        <v>8210029.7400000002</v>
      </c>
      <c r="K151" s="231">
        <f>K152+K153+K154+K155+K156</f>
        <v>9059671.2070000004</v>
      </c>
      <c r="L151" s="231">
        <f>L152+L153+L154+L155</f>
        <v>8120298.1600000001</v>
      </c>
    </row>
    <row r="152" spans="1:12">
      <c r="A152" s="230" t="s">
        <v>210</v>
      </c>
      <c r="B152" s="7" t="s">
        <v>209</v>
      </c>
      <c r="C152" s="232">
        <f t="shared" si="17"/>
        <v>2528035.0999999996</v>
      </c>
      <c r="D152" s="232">
        <f t="shared" si="17"/>
        <v>2258605.3744899998</v>
      </c>
      <c r="E152" s="232">
        <f t="shared" si="17"/>
        <v>2745385.5871900003</v>
      </c>
      <c r="F152" s="232">
        <f t="shared" si="17"/>
        <v>2470169.5099800001</v>
      </c>
      <c r="G152" s="232">
        <f t="shared" si="17"/>
        <v>2393623.0065600001</v>
      </c>
      <c r="H152" s="232">
        <f t="shared" si="17"/>
        <v>3023725.4387600003</v>
      </c>
      <c r="I152" s="232">
        <f t="shared" si="17"/>
        <v>3578705.9357000003</v>
      </c>
      <c r="J152" s="232">
        <f t="shared" ref="J152:L153" si="18">J159+J166+J173+J180</f>
        <v>4587707</v>
      </c>
      <c r="K152" s="232">
        <f t="shared" si="18"/>
        <v>4351907</v>
      </c>
      <c r="L152" s="232">
        <f t="shared" si="18"/>
        <v>4825310</v>
      </c>
    </row>
    <row r="153" spans="1:12" ht="27">
      <c r="A153" s="233" t="s">
        <v>211</v>
      </c>
      <c r="B153" s="7" t="s">
        <v>209</v>
      </c>
      <c r="C153" s="232">
        <v>473560.5</v>
      </c>
      <c r="D153" s="232">
        <v>196355.3</v>
      </c>
      <c r="E153" s="232">
        <v>1405669.8</v>
      </c>
      <c r="F153" s="232">
        <v>1244662</v>
      </c>
      <c r="G153" s="232">
        <v>735587</v>
      </c>
      <c r="H153" s="232">
        <v>808853</v>
      </c>
      <c r="I153" s="232">
        <v>1312584</v>
      </c>
      <c r="J153" s="232">
        <f t="shared" si="18"/>
        <v>986270</v>
      </c>
      <c r="K153" s="232">
        <f t="shared" si="18"/>
        <v>4221897</v>
      </c>
      <c r="L153" s="232">
        <f t="shared" si="18"/>
        <v>3120415</v>
      </c>
    </row>
    <row r="154" spans="1:12">
      <c r="A154" s="230" t="s">
        <v>212</v>
      </c>
      <c r="B154" s="7" t="s">
        <v>209</v>
      </c>
      <c r="C154" s="232">
        <f>C161+C168+C175+C182</f>
        <v>226692.16244000001</v>
      </c>
      <c r="D154" s="232">
        <f t="shared" ref="D154:K154" si="19">D168+D175+D182+D161</f>
        <v>287117.50474</v>
      </c>
      <c r="E154" s="232">
        <f t="shared" si="19"/>
        <v>348456.86011000001</v>
      </c>
      <c r="F154" s="232">
        <f t="shared" si="19"/>
        <v>245487.28292</v>
      </c>
      <c r="G154" s="232">
        <f t="shared" si="19"/>
        <v>311903.28258</v>
      </c>
      <c r="H154" s="232">
        <f t="shared" si="19"/>
        <v>139491.31517000002</v>
      </c>
      <c r="I154" s="232">
        <f t="shared" si="19"/>
        <v>149498.32248999999</v>
      </c>
      <c r="J154" s="232">
        <f t="shared" si="19"/>
        <v>156343</v>
      </c>
      <c r="K154" s="232">
        <f t="shared" si="19"/>
        <v>165447</v>
      </c>
      <c r="L154" s="232">
        <f t="shared" ref="L154" si="20">L168+L175+L182+L161</f>
        <v>174553.15999999997</v>
      </c>
    </row>
    <row r="155" spans="1:12">
      <c r="A155" s="234" t="s">
        <v>213</v>
      </c>
      <c r="B155" s="7" t="s">
        <v>209</v>
      </c>
      <c r="C155" s="235">
        <f>C162+C169+C176</f>
        <v>35107.5</v>
      </c>
      <c r="D155" s="236">
        <f t="shared" ref="D155:K155" si="21">D162+D169+D176+D183</f>
        <v>120</v>
      </c>
      <c r="E155" s="236">
        <f t="shared" si="21"/>
        <v>30.5</v>
      </c>
      <c r="F155" s="236">
        <f t="shared" si="21"/>
        <v>440</v>
      </c>
      <c r="G155" s="236">
        <f t="shared" si="21"/>
        <v>292</v>
      </c>
      <c r="H155" s="236">
        <f t="shared" si="21"/>
        <v>195</v>
      </c>
      <c r="I155" s="236">
        <f t="shared" si="21"/>
        <v>460</v>
      </c>
      <c r="J155" s="236">
        <f t="shared" si="21"/>
        <v>633</v>
      </c>
      <c r="K155" s="236">
        <f t="shared" si="21"/>
        <v>2910.2069999999999</v>
      </c>
      <c r="L155" s="236">
        <f t="shared" ref="L155" si="22">L162+L169+L176+L183</f>
        <v>20</v>
      </c>
    </row>
    <row r="156" spans="1:12" ht="27">
      <c r="A156" s="237" t="s">
        <v>214</v>
      </c>
      <c r="B156" s="7" t="s">
        <v>209</v>
      </c>
      <c r="C156" s="161" t="s">
        <v>219</v>
      </c>
      <c r="D156" s="161" t="s">
        <v>219</v>
      </c>
      <c r="E156" s="161" t="s">
        <v>219</v>
      </c>
      <c r="F156" s="161" t="s">
        <v>219</v>
      </c>
      <c r="G156" s="161" t="s">
        <v>219</v>
      </c>
      <c r="H156" s="238">
        <f>H163</f>
        <v>52191</v>
      </c>
      <c r="I156" s="238">
        <f>I163</f>
        <v>48368</v>
      </c>
      <c r="J156" s="239">
        <f>J163+J170</f>
        <v>2479076.7400000002</v>
      </c>
      <c r="K156" s="157">
        <f>K163</f>
        <v>317510</v>
      </c>
      <c r="L156" s="157" t="str">
        <f>L163</f>
        <v>n/a</v>
      </c>
    </row>
    <row r="157" spans="1:12">
      <c r="A157" s="240"/>
      <c r="B157" s="196"/>
      <c r="C157" s="344" t="s">
        <v>178</v>
      </c>
      <c r="D157" s="345"/>
      <c r="E157" s="345"/>
      <c r="F157" s="345"/>
      <c r="G157" s="345"/>
      <c r="H157" s="345"/>
      <c r="I157" s="345"/>
      <c r="J157" s="345"/>
      <c r="K157" s="345"/>
      <c r="L157" s="335"/>
    </row>
    <row r="158" spans="1:12">
      <c r="A158" s="230" t="s">
        <v>208</v>
      </c>
      <c r="B158" s="7" t="s">
        <v>209</v>
      </c>
      <c r="C158" s="231">
        <f>SUM(C159:C162)</f>
        <v>1353766.0353399999</v>
      </c>
      <c r="D158" s="231">
        <f t="shared" ref="D158:G158" si="23">SUM(D159:D162)</f>
        <v>683807.3</v>
      </c>
      <c r="E158" s="231">
        <f t="shared" si="23"/>
        <v>2205957.7999999998</v>
      </c>
      <c r="F158" s="231">
        <f t="shared" si="23"/>
        <v>2150630</v>
      </c>
      <c r="G158" s="231">
        <f t="shared" si="23"/>
        <v>1723449</v>
      </c>
      <c r="H158" s="231">
        <f>SUM(H159:H163)</f>
        <v>2309328</v>
      </c>
      <c r="I158" s="231">
        <f>SUM(I159:I163)</f>
        <v>2514361</v>
      </c>
      <c r="J158" s="231">
        <f>SUM(J159:J163)</f>
        <v>4710078</v>
      </c>
      <c r="K158" s="231">
        <f>SUM(K159:K163)</f>
        <v>3025358.4569999999</v>
      </c>
      <c r="L158" s="231">
        <f>SUM(L159:L163)</f>
        <v>3296663.55</v>
      </c>
    </row>
    <row r="159" spans="1:12">
      <c r="A159" s="230" t="s">
        <v>210</v>
      </c>
      <c r="B159" s="7" t="s">
        <v>209</v>
      </c>
      <c r="C159" s="232">
        <v>883919</v>
      </c>
      <c r="D159" s="232">
        <f>295027+5293+42341+230216</f>
        <v>572877</v>
      </c>
      <c r="E159" s="232">
        <f>569174+4978+76498+260442</f>
        <v>911092</v>
      </c>
      <c r="F159" s="232">
        <f>829869+9030+77648+212911</f>
        <v>1129458</v>
      </c>
      <c r="G159" s="232">
        <f>910034+8066+8228+67856</f>
        <v>994184</v>
      </c>
      <c r="H159" s="232">
        <f>1353060+29215+18325+74347</f>
        <v>1474947</v>
      </c>
      <c r="I159" s="232">
        <v>1785252</v>
      </c>
      <c r="J159" s="241">
        <f>1787042+19297+26225+329438</f>
        <v>2162002</v>
      </c>
      <c r="K159" s="242">
        <f>1824210+22282+15825</f>
        <v>1862317</v>
      </c>
      <c r="L159" s="277">
        <f>1885821+12928+34172+154132</f>
        <v>2087053</v>
      </c>
    </row>
    <row r="160" spans="1:12" ht="27">
      <c r="A160" s="233" t="s">
        <v>211</v>
      </c>
      <c r="B160" s="7" t="s">
        <v>209</v>
      </c>
      <c r="C160" s="232">
        <v>427582.5</v>
      </c>
      <c r="D160" s="232">
        <v>100611.3</v>
      </c>
      <c r="E160" s="232">
        <v>1264044.8</v>
      </c>
      <c r="F160" s="232">
        <v>1000830</v>
      </c>
      <c r="G160" s="232">
        <v>684524</v>
      </c>
      <c r="H160" s="232">
        <v>748884</v>
      </c>
      <c r="I160" s="232">
        <v>642076</v>
      </c>
      <c r="J160" s="241">
        <v>181494</v>
      </c>
      <c r="K160" s="242">
        <v>800020</v>
      </c>
      <c r="L160" s="277">
        <v>1166613</v>
      </c>
    </row>
    <row r="161" spans="1:12">
      <c r="A161" s="230" t="s">
        <v>212</v>
      </c>
      <c r="B161" s="7" t="s">
        <v>209</v>
      </c>
      <c r="C161" s="243">
        <v>7157.0353400000004</v>
      </c>
      <c r="D161" s="232">
        <v>10319</v>
      </c>
      <c r="E161" s="232">
        <v>30821</v>
      </c>
      <c r="F161" s="232">
        <v>20162</v>
      </c>
      <c r="G161" s="232">
        <v>44741</v>
      </c>
      <c r="H161" s="232">
        <v>33306</v>
      </c>
      <c r="I161" s="232">
        <v>38437</v>
      </c>
      <c r="J161" s="244">
        <v>38312</v>
      </c>
      <c r="K161" s="242">
        <v>43220</v>
      </c>
      <c r="L161" s="288">
        <v>42997.55</v>
      </c>
    </row>
    <row r="162" spans="1:12">
      <c r="A162" s="234" t="s">
        <v>213</v>
      </c>
      <c r="B162" s="7" t="s">
        <v>209</v>
      </c>
      <c r="C162" s="232">
        <v>35107.5</v>
      </c>
      <c r="D162" s="232">
        <v>0</v>
      </c>
      <c r="E162" s="232">
        <v>0</v>
      </c>
      <c r="F162" s="232">
        <v>180</v>
      </c>
      <c r="G162" s="232">
        <v>0</v>
      </c>
      <c r="H162" s="232">
        <v>0</v>
      </c>
      <c r="I162" s="232">
        <v>228</v>
      </c>
      <c r="J162" s="243">
        <v>10</v>
      </c>
      <c r="K162" s="242">
        <v>2291.4569999999999</v>
      </c>
      <c r="L162" s="157">
        <v>0</v>
      </c>
    </row>
    <row r="163" spans="1:12" ht="27">
      <c r="A163" s="237" t="s">
        <v>214</v>
      </c>
      <c r="B163" s="7" t="s">
        <v>209</v>
      </c>
      <c r="C163" s="161" t="s">
        <v>219</v>
      </c>
      <c r="D163" s="161" t="s">
        <v>219</v>
      </c>
      <c r="E163" s="161" t="s">
        <v>219</v>
      </c>
      <c r="F163" s="161" t="s">
        <v>219</v>
      </c>
      <c r="G163" s="161" t="s">
        <v>219</v>
      </c>
      <c r="H163" s="245">
        <v>52191</v>
      </c>
      <c r="I163" s="245">
        <v>48368</v>
      </c>
      <c r="J163" s="239">
        <f>2327562+698</f>
        <v>2328260</v>
      </c>
      <c r="K163" s="242">
        <v>317510</v>
      </c>
      <c r="L163" s="161" t="s">
        <v>219</v>
      </c>
    </row>
    <row r="164" spans="1:12">
      <c r="A164" s="246"/>
      <c r="B164" s="247"/>
      <c r="C164" s="324" t="s">
        <v>179</v>
      </c>
      <c r="D164" s="325"/>
      <c r="E164" s="325"/>
      <c r="F164" s="325"/>
      <c r="G164" s="325"/>
      <c r="H164" s="325"/>
      <c r="I164" s="325"/>
      <c r="J164" s="325"/>
      <c r="K164" s="325"/>
      <c r="L164" s="326"/>
    </row>
    <row r="165" spans="1:12">
      <c r="A165" s="230" t="s">
        <v>208</v>
      </c>
      <c r="B165" s="7" t="s">
        <v>209</v>
      </c>
      <c r="C165" s="231">
        <f>SUM(C166:C169)</f>
        <v>619489.0601</v>
      </c>
      <c r="D165" s="231">
        <f>SUM(D166:D169)</f>
        <v>763498.50474</v>
      </c>
      <c r="E165" s="231">
        <f t="shared" ref="E165:I165" si="24">SUM(E166:E169)</f>
        <v>740454.18310999998</v>
      </c>
      <c r="F165" s="231">
        <f t="shared" si="24"/>
        <v>698140.09192000004</v>
      </c>
      <c r="G165" s="231">
        <f t="shared" si="24"/>
        <v>832182.02858000004</v>
      </c>
      <c r="H165" s="231">
        <f t="shared" si="24"/>
        <v>917137.98216999997</v>
      </c>
      <c r="I165" s="231">
        <f t="shared" si="24"/>
        <v>917895.83134000003</v>
      </c>
      <c r="J165" s="231">
        <f>SUM(J166:J170)</f>
        <v>1403129.74</v>
      </c>
      <c r="K165" s="231">
        <f>SUM(K166:K170)</f>
        <v>1108820</v>
      </c>
      <c r="L165" s="231">
        <v>1285422.6100000001</v>
      </c>
    </row>
    <row r="166" spans="1:12">
      <c r="A166" s="230" t="s">
        <v>210</v>
      </c>
      <c r="B166" s="7" t="s">
        <v>209</v>
      </c>
      <c r="C166" s="232">
        <f>562440.8+29947.1</f>
        <v>592387.9</v>
      </c>
      <c r="D166" s="232">
        <f>699438+7864+26910</f>
        <v>734212</v>
      </c>
      <c r="E166" s="232">
        <f>628286+58034+22364</f>
        <v>708684</v>
      </c>
      <c r="F166" s="232">
        <f>468296+171380+23826</f>
        <v>663502</v>
      </c>
      <c r="G166" s="232">
        <f>534349+167755+29913</f>
        <v>732017</v>
      </c>
      <c r="H166" s="232">
        <f>609267+184036+51209</f>
        <v>844512</v>
      </c>
      <c r="I166" s="232">
        <f>591230+217795+26973</f>
        <v>835998</v>
      </c>
      <c r="J166" s="241">
        <f>690058+228333+6150</f>
        <v>924541</v>
      </c>
      <c r="K166" s="157">
        <f>761257+255016+6422</f>
        <v>1022695</v>
      </c>
      <c r="L166" s="277">
        <v>1151875</v>
      </c>
    </row>
    <row r="167" spans="1:12" ht="27">
      <c r="A167" s="233" t="s">
        <v>211</v>
      </c>
      <c r="B167" s="7" t="s">
        <v>209</v>
      </c>
      <c r="C167" s="161" t="s">
        <v>219</v>
      </c>
      <c r="D167" s="161" t="s">
        <v>219</v>
      </c>
      <c r="E167" s="161" t="s">
        <v>219</v>
      </c>
      <c r="F167" s="161" t="s">
        <v>219</v>
      </c>
      <c r="G167" s="161" t="s">
        <v>219</v>
      </c>
      <c r="H167" s="161" t="s">
        <v>219</v>
      </c>
      <c r="I167" s="161" t="s">
        <v>219</v>
      </c>
      <c r="J167" s="241">
        <v>246893</v>
      </c>
      <c r="K167" s="157">
        <v>0</v>
      </c>
      <c r="L167" s="289">
        <v>42633</v>
      </c>
    </row>
    <row r="168" spans="1:12">
      <c r="A168" s="230" t="s">
        <v>212</v>
      </c>
      <c r="B168" s="7" t="s">
        <v>209</v>
      </c>
      <c r="C168" s="232">
        <v>27101.160100000001</v>
      </c>
      <c r="D168" s="232">
        <v>29186.50474</v>
      </c>
      <c r="E168" s="232">
        <v>31770.183110000002</v>
      </c>
      <c r="F168" s="232">
        <v>34638.091919999999</v>
      </c>
      <c r="G168" s="232">
        <v>100165.02858</v>
      </c>
      <c r="H168" s="232">
        <v>72625.982170000003</v>
      </c>
      <c r="I168" s="232">
        <v>81897.831340000004</v>
      </c>
      <c r="J168" s="248">
        <v>80879</v>
      </c>
      <c r="K168" s="157">
        <v>86125</v>
      </c>
      <c r="L168" s="288">
        <v>90914.61</v>
      </c>
    </row>
    <row r="169" spans="1:12">
      <c r="A169" s="234" t="s">
        <v>213</v>
      </c>
      <c r="B169" s="7" t="s">
        <v>209</v>
      </c>
      <c r="C169" s="204">
        <v>0</v>
      </c>
      <c r="D169" s="204">
        <v>100</v>
      </c>
      <c r="E169" s="204">
        <v>0</v>
      </c>
      <c r="F169" s="204">
        <v>0</v>
      </c>
      <c r="G169" s="204">
        <v>0</v>
      </c>
      <c r="H169" s="204">
        <v>0</v>
      </c>
      <c r="I169" s="204">
        <v>0</v>
      </c>
      <c r="J169" s="249">
        <v>0</v>
      </c>
      <c r="K169" s="157">
        <v>0</v>
      </c>
      <c r="L169" s="157">
        <v>0</v>
      </c>
    </row>
    <row r="170" spans="1:12" ht="27">
      <c r="A170" s="237" t="s">
        <v>214</v>
      </c>
      <c r="B170" s="7" t="s">
        <v>209</v>
      </c>
      <c r="C170" s="161" t="s">
        <v>219</v>
      </c>
      <c r="D170" s="161" t="s">
        <v>219</v>
      </c>
      <c r="E170" s="161" t="s">
        <v>219</v>
      </c>
      <c r="F170" s="161" t="s">
        <v>219</v>
      </c>
      <c r="G170" s="161" t="s">
        <v>219</v>
      </c>
      <c r="H170" s="161" t="s">
        <v>219</v>
      </c>
      <c r="I170" s="161" t="s">
        <v>219</v>
      </c>
      <c r="J170" s="239">
        <v>150816.74</v>
      </c>
      <c r="K170" s="161" t="s">
        <v>219</v>
      </c>
      <c r="L170" s="277" t="s">
        <v>222</v>
      </c>
    </row>
    <row r="171" spans="1:12">
      <c r="A171" s="246"/>
      <c r="B171" s="247"/>
      <c r="C171" s="329" t="s">
        <v>180</v>
      </c>
      <c r="D171" s="328"/>
      <c r="E171" s="328"/>
      <c r="F171" s="328"/>
      <c r="G171" s="328"/>
      <c r="H171" s="328"/>
      <c r="I171" s="328"/>
      <c r="J171" s="328"/>
      <c r="K171" s="328"/>
      <c r="L171" s="326"/>
    </row>
    <row r="172" spans="1:12">
      <c r="A172" s="230" t="s">
        <v>208</v>
      </c>
      <c r="B172" s="7" t="s">
        <v>209</v>
      </c>
      <c r="C172" s="231">
        <f>C173+C174+C175+C176</f>
        <v>1074749.2</v>
      </c>
      <c r="D172" s="231">
        <f t="shared" ref="D172:K172" si="25">D173+D174+D175+D176</f>
        <v>1274050.3744899998</v>
      </c>
      <c r="E172" s="231">
        <f t="shared" si="25"/>
        <v>1528895.5871900001</v>
      </c>
      <c r="F172" s="231">
        <f t="shared" si="25"/>
        <v>1095059.5099800001</v>
      </c>
      <c r="G172" s="231">
        <f t="shared" si="25"/>
        <v>854208.00656000001</v>
      </c>
      <c r="H172" s="231">
        <f t="shared" si="25"/>
        <v>765464.43876000005</v>
      </c>
      <c r="I172" s="231">
        <f t="shared" si="25"/>
        <v>1618314.3298500001</v>
      </c>
      <c r="J172" s="231">
        <f t="shared" si="25"/>
        <v>1794016</v>
      </c>
      <c r="K172" s="231">
        <f t="shared" si="25"/>
        <v>4674672</v>
      </c>
      <c r="L172" s="231">
        <v>3040760</v>
      </c>
    </row>
    <row r="173" spans="1:12">
      <c r="A173" s="230" t="s">
        <v>210</v>
      </c>
      <c r="B173" s="7" t="s">
        <v>209</v>
      </c>
      <c r="C173" s="232">
        <v>842895.2</v>
      </c>
      <c r="D173" s="232">
        <v>938679.37448999996</v>
      </c>
      <c r="E173" s="232">
        <v>1110549.5871900001</v>
      </c>
      <c r="F173" s="232">
        <v>662149.50997999997</v>
      </c>
      <c r="G173" s="232">
        <v>641696.00656000001</v>
      </c>
      <c r="H173" s="232">
        <v>674099.43876000005</v>
      </c>
      <c r="I173" s="232">
        <v>929325.93570000003</v>
      </c>
      <c r="J173" s="241">
        <v>1204384</v>
      </c>
      <c r="K173" s="157">
        <f>1093572+110296+10040+4132</f>
        <v>1218040</v>
      </c>
      <c r="L173" s="157">
        <v>1391569</v>
      </c>
    </row>
    <row r="174" spans="1:12" ht="27">
      <c r="A174" s="233" t="s">
        <v>211</v>
      </c>
      <c r="B174" s="7" t="s">
        <v>209</v>
      </c>
      <c r="C174" s="250">
        <v>45978</v>
      </c>
      <c r="D174" s="250">
        <v>95744</v>
      </c>
      <c r="E174" s="250">
        <v>141625</v>
      </c>
      <c r="F174" s="250">
        <v>243832</v>
      </c>
      <c r="G174" s="250">
        <v>51063</v>
      </c>
      <c r="H174" s="250">
        <v>59969</v>
      </c>
      <c r="I174" s="250">
        <v>661282</v>
      </c>
      <c r="J174" s="239">
        <v>553383</v>
      </c>
      <c r="K174" s="157">
        <v>3421527</v>
      </c>
      <c r="L174" s="157">
        <v>1609540</v>
      </c>
    </row>
    <row r="175" spans="1:12">
      <c r="A175" s="230" t="s">
        <v>212</v>
      </c>
      <c r="B175" s="7" t="s">
        <v>209</v>
      </c>
      <c r="C175" s="251">
        <v>185876</v>
      </c>
      <c r="D175" s="250">
        <v>239627</v>
      </c>
      <c r="E175" s="250">
        <v>276721</v>
      </c>
      <c r="F175" s="250">
        <v>189078</v>
      </c>
      <c r="G175" s="250">
        <v>161259</v>
      </c>
      <c r="H175" s="250">
        <v>31206</v>
      </c>
      <c r="I175" s="250">
        <v>27574.39415</v>
      </c>
      <c r="J175" s="252">
        <v>35626</v>
      </c>
      <c r="K175" s="157">
        <v>35105</v>
      </c>
      <c r="L175" s="216">
        <v>39631</v>
      </c>
    </row>
    <row r="176" spans="1:12">
      <c r="A176" s="234" t="s">
        <v>213</v>
      </c>
      <c r="B176" s="7" t="s">
        <v>209</v>
      </c>
      <c r="C176" s="250">
        <v>0</v>
      </c>
      <c r="D176" s="250">
        <v>0</v>
      </c>
      <c r="E176" s="250">
        <v>0</v>
      </c>
      <c r="F176" s="250">
        <v>0</v>
      </c>
      <c r="G176" s="250">
        <v>190</v>
      </c>
      <c r="H176" s="250">
        <v>190</v>
      </c>
      <c r="I176" s="250">
        <v>132</v>
      </c>
      <c r="J176" s="252">
        <v>623</v>
      </c>
      <c r="K176" s="157">
        <v>0</v>
      </c>
      <c r="L176" s="157">
        <v>20</v>
      </c>
    </row>
    <row r="177" spans="1:12" ht="27">
      <c r="A177" s="237" t="s">
        <v>214</v>
      </c>
      <c r="B177" s="7" t="s">
        <v>209</v>
      </c>
      <c r="C177" s="161" t="s">
        <v>219</v>
      </c>
      <c r="D177" s="161" t="s">
        <v>219</v>
      </c>
      <c r="E177" s="161" t="s">
        <v>219</v>
      </c>
      <c r="F177" s="161" t="s">
        <v>219</v>
      </c>
      <c r="G177" s="161" t="s">
        <v>219</v>
      </c>
      <c r="H177" s="161" t="s">
        <v>219</v>
      </c>
      <c r="I177" s="161" t="s">
        <v>219</v>
      </c>
      <c r="J177" s="161" t="s">
        <v>219</v>
      </c>
      <c r="K177" s="161" t="s">
        <v>219</v>
      </c>
      <c r="L177" s="277" t="s">
        <v>222</v>
      </c>
    </row>
    <row r="178" spans="1:12">
      <c r="A178" s="144"/>
      <c r="B178" s="253"/>
      <c r="C178" s="324" t="s">
        <v>181</v>
      </c>
      <c r="D178" s="325"/>
      <c r="E178" s="325"/>
      <c r="F178" s="325"/>
      <c r="G178" s="325"/>
      <c r="H178" s="325"/>
      <c r="I178" s="325"/>
      <c r="J178" s="325"/>
      <c r="K178" s="325"/>
      <c r="L178" s="326"/>
    </row>
    <row r="179" spans="1:12">
      <c r="A179" s="230" t="s">
        <v>208</v>
      </c>
      <c r="B179" s="7" t="s">
        <v>209</v>
      </c>
      <c r="C179" s="254">
        <f>SUM(C180:C183)</f>
        <v>215390.967</v>
      </c>
      <c r="D179" s="254">
        <f t="shared" ref="D179:K179" si="26">SUM(D180:D183)</f>
        <v>20842</v>
      </c>
      <c r="E179" s="254">
        <f t="shared" si="26"/>
        <v>24235.177</v>
      </c>
      <c r="F179" s="254">
        <f t="shared" si="26"/>
        <v>16929.190999999999</v>
      </c>
      <c r="G179" s="254">
        <f t="shared" si="26"/>
        <v>31566.254000000001</v>
      </c>
      <c r="H179" s="254">
        <f t="shared" si="26"/>
        <v>32525.332999999999</v>
      </c>
      <c r="I179" s="254">
        <f t="shared" si="26"/>
        <v>39045.097000000002</v>
      </c>
      <c r="J179" s="254">
        <f t="shared" si="26"/>
        <v>302806</v>
      </c>
      <c r="K179" s="254">
        <f t="shared" si="26"/>
        <v>250820.75</v>
      </c>
      <c r="L179" s="254">
        <v>497452</v>
      </c>
    </row>
    <row r="180" spans="1:12">
      <c r="A180" s="230" t="s">
        <v>210</v>
      </c>
      <c r="B180" s="7" t="s">
        <v>209</v>
      </c>
      <c r="C180" s="255">
        <v>208833</v>
      </c>
      <c r="D180" s="255">
        <v>12837</v>
      </c>
      <c r="E180" s="255">
        <v>15060</v>
      </c>
      <c r="F180" s="255">
        <v>15060</v>
      </c>
      <c r="G180" s="255">
        <v>25726</v>
      </c>
      <c r="H180" s="256">
        <v>30167</v>
      </c>
      <c r="I180" s="256">
        <v>28130</v>
      </c>
      <c r="J180" s="241">
        <v>296780</v>
      </c>
      <c r="K180" s="157">
        <f>222855+13800+12200</f>
        <v>248855</v>
      </c>
      <c r="L180" s="277">
        <v>194813</v>
      </c>
    </row>
    <row r="181" spans="1:12" ht="27">
      <c r="A181" s="233" t="s">
        <v>211</v>
      </c>
      <c r="B181" s="7" t="s">
        <v>209</v>
      </c>
      <c r="C181" s="161" t="s">
        <v>219</v>
      </c>
      <c r="D181" s="161" t="s">
        <v>219</v>
      </c>
      <c r="E181" s="161" t="s">
        <v>219</v>
      </c>
      <c r="F181" s="161" t="s">
        <v>219</v>
      </c>
      <c r="G181" s="161" t="s">
        <v>219</v>
      </c>
      <c r="H181" s="161" t="s">
        <v>219</v>
      </c>
      <c r="I181" s="256">
        <v>9226</v>
      </c>
      <c r="J181" s="239">
        <v>4500</v>
      </c>
      <c r="K181" s="157">
        <v>350</v>
      </c>
      <c r="L181" s="157">
        <v>301629</v>
      </c>
    </row>
    <row r="182" spans="1:12">
      <c r="A182" s="230" t="s">
        <v>212</v>
      </c>
      <c r="B182" s="7" t="s">
        <v>209</v>
      </c>
      <c r="C182" s="255">
        <v>6557.9669999999996</v>
      </c>
      <c r="D182" s="255">
        <v>7985</v>
      </c>
      <c r="E182" s="255">
        <v>9144.6769999999997</v>
      </c>
      <c r="F182" s="255">
        <v>1609.191</v>
      </c>
      <c r="G182" s="255">
        <v>5738.2539999999999</v>
      </c>
      <c r="H182" s="256">
        <v>2353.3330000000001</v>
      </c>
      <c r="I182" s="256">
        <v>1589.097</v>
      </c>
      <c r="J182" s="248">
        <v>1526</v>
      </c>
      <c r="K182" s="157">
        <v>997</v>
      </c>
      <c r="L182" s="216">
        <v>1010</v>
      </c>
    </row>
    <row r="183" spans="1:12">
      <c r="A183" s="234" t="s">
        <v>213</v>
      </c>
      <c r="B183" s="7" t="s">
        <v>209</v>
      </c>
      <c r="C183" s="161" t="s">
        <v>219</v>
      </c>
      <c r="D183" s="256">
        <v>20</v>
      </c>
      <c r="E183" s="256">
        <v>30.5</v>
      </c>
      <c r="F183" s="256">
        <v>260</v>
      </c>
      <c r="G183" s="256">
        <v>102</v>
      </c>
      <c r="H183" s="256">
        <v>5</v>
      </c>
      <c r="I183" s="256">
        <v>100</v>
      </c>
      <c r="J183" s="243">
        <v>0</v>
      </c>
      <c r="K183" s="157">
        <v>618.75</v>
      </c>
      <c r="L183" s="157">
        <v>0</v>
      </c>
    </row>
    <row r="184" spans="1:12" ht="27">
      <c r="A184" s="257" t="s">
        <v>214</v>
      </c>
      <c r="B184" s="258" t="s">
        <v>209</v>
      </c>
      <c r="C184" s="161" t="s">
        <v>219</v>
      </c>
      <c r="D184" s="161" t="s">
        <v>219</v>
      </c>
      <c r="E184" s="161" t="s">
        <v>219</v>
      </c>
      <c r="F184" s="161" t="s">
        <v>219</v>
      </c>
      <c r="G184" s="161" t="s">
        <v>219</v>
      </c>
      <c r="H184" s="161" t="s">
        <v>219</v>
      </c>
      <c r="I184" s="161" t="s">
        <v>219</v>
      </c>
      <c r="J184" s="161" t="s">
        <v>219</v>
      </c>
      <c r="K184" s="161" t="s">
        <v>219</v>
      </c>
      <c r="L184" s="277" t="s">
        <v>222</v>
      </c>
    </row>
    <row r="185" spans="1:12">
      <c r="A185" s="259"/>
      <c r="B185" s="178"/>
      <c r="C185" s="178"/>
      <c r="D185" s="178"/>
      <c r="E185" s="178"/>
      <c r="F185" s="178"/>
      <c r="G185" s="178"/>
      <c r="H185" s="178"/>
      <c r="I185" s="178"/>
      <c r="J185" s="260"/>
    </row>
    <row r="186" spans="1:12">
      <c r="A186" s="261"/>
      <c r="B186" s="262"/>
      <c r="C186" s="263"/>
      <c r="D186" s="263"/>
      <c r="E186" s="264"/>
      <c r="F186" s="264"/>
      <c r="G186" s="264"/>
      <c r="H186" s="264"/>
      <c r="I186" s="264"/>
      <c r="J186" s="265"/>
    </row>
  </sheetData>
  <mergeCells count="41">
    <mergeCell ref="C178:L178"/>
    <mergeCell ref="C171:L171"/>
    <mergeCell ref="C164:L164"/>
    <mergeCell ref="C157:L157"/>
    <mergeCell ref="C71:L71"/>
    <mergeCell ref="C84:L84"/>
    <mergeCell ref="C86:L86"/>
    <mergeCell ref="C88:L88"/>
    <mergeCell ref="C92:L92"/>
    <mergeCell ref="C115:L115"/>
    <mergeCell ref="C150:L150"/>
    <mergeCell ref="C80:L80"/>
    <mergeCell ref="C82:L82"/>
    <mergeCell ref="C100:L100"/>
    <mergeCell ref="C104:L104"/>
    <mergeCell ref="C110:L110"/>
    <mergeCell ref="C7:L7"/>
    <mergeCell ref="C16:L16"/>
    <mergeCell ref="C25:L25"/>
    <mergeCell ref="C73:L73"/>
    <mergeCell ref="C78:L78"/>
    <mergeCell ref="C34:L34"/>
    <mergeCell ref="C43:L43"/>
    <mergeCell ref="C59:L59"/>
    <mergeCell ref="C61:L61"/>
    <mergeCell ref="C57:L57"/>
    <mergeCell ref="C55:L55"/>
    <mergeCell ref="C53:L53"/>
    <mergeCell ref="C63:L63"/>
    <mergeCell ref="C65:L65"/>
    <mergeCell ref="C67:L67"/>
    <mergeCell ref="C69:L69"/>
    <mergeCell ref="C139:L139"/>
    <mergeCell ref="C141:L141"/>
    <mergeCell ref="C143:L143"/>
    <mergeCell ref="C145:L145"/>
    <mergeCell ref="C96:L96"/>
    <mergeCell ref="C120:L120"/>
    <mergeCell ref="C125:L125"/>
    <mergeCell ref="C132:L132"/>
    <mergeCell ref="C137:L1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J102"/>
  <sheetViews>
    <sheetView showGridLines="0" zoomScaleNormal="100" zoomScaleSheetLayoutView="85" workbookViewId="0">
      <selection activeCell="E67" sqref="E67"/>
    </sheetView>
  </sheetViews>
  <sheetFormatPr defaultRowHeight="14.4"/>
  <cols>
    <col min="1" max="1" width="47.88671875" bestFit="1" customWidth="1"/>
    <col min="2" max="2" width="17.33203125" customWidth="1"/>
    <col min="3" max="3" width="12.88671875" bestFit="1" customWidth="1"/>
    <col min="4" max="4" width="14.33203125" customWidth="1"/>
    <col min="5" max="5" width="12.88671875" bestFit="1" customWidth="1"/>
    <col min="6" max="6" width="14.33203125" customWidth="1"/>
    <col min="7" max="7" width="12.88671875" bestFit="1" customWidth="1"/>
    <col min="8" max="9" width="14.44140625" customWidth="1"/>
    <col min="10" max="10" width="14.6640625" customWidth="1"/>
  </cols>
  <sheetData>
    <row r="3" spans="1:10" ht="15.6">
      <c r="A3" s="68" t="s">
        <v>62</v>
      </c>
      <c r="B3" s="23"/>
      <c r="C3" s="23"/>
      <c r="D3" s="23"/>
      <c r="E3" s="23"/>
      <c r="F3" s="23"/>
      <c r="G3" s="23"/>
      <c r="H3" s="23"/>
      <c r="I3" s="23"/>
      <c r="J3" s="23"/>
    </row>
    <row r="6" spans="1:10">
      <c r="A6" s="24" t="s">
        <v>66</v>
      </c>
      <c r="B6" s="107" t="s">
        <v>26</v>
      </c>
      <c r="C6" s="102">
        <v>2013</v>
      </c>
      <c r="D6" s="102">
        <v>2014</v>
      </c>
      <c r="E6" s="102">
        <v>2015</v>
      </c>
      <c r="F6" s="102">
        <v>2016</v>
      </c>
      <c r="G6" s="102">
        <v>2017</v>
      </c>
      <c r="H6" s="102">
        <v>2018</v>
      </c>
      <c r="I6" s="107">
        <v>2019</v>
      </c>
      <c r="J6" s="107">
        <v>2020</v>
      </c>
    </row>
    <row r="7" spans="1:10">
      <c r="A7" s="81" t="s">
        <v>18</v>
      </c>
      <c r="B7" s="109" t="s">
        <v>63</v>
      </c>
      <c r="C7" s="115" t="s">
        <v>33</v>
      </c>
      <c r="D7" s="114" t="s">
        <v>33</v>
      </c>
      <c r="E7" s="114">
        <f>3267.522286/E100</f>
        <v>0.13602631458052383</v>
      </c>
      <c r="F7" s="114">
        <f>3240.039583/F100</f>
        <v>0.12578758750400382</v>
      </c>
      <c r="G7" s="114">
        <f>3595.5301471/G100</f>
        <v>0.12520672665078292</v>
      </c>
      <c r="H7" s="114">
        <f>3673.546524/H100</f>
        <v>0.11952418157020613</v>
      </c>
      <c r="I7" s="114">
        <f>3734.68/I94</f>
        <v>0.11491369601058835</v>
      </c>
      <c r="J7" s="124">
        <f>3819.77/J94</f>
        <v>0.112907449173566</v>
      </c>
    </row>
    <row r="8" spans="1:10">
      <c r="A8" s="77" t="s">
        <v>19</v>
      </c>
      <c r="B8" s="109" t="s">
        <v>63</v>
      </c>
      <c r="C8" s="115" t="s">
        <v>33</v>
      </c>
      <c r="D8" s="114" t="s">
        <v>33</v>
      </c>
      <c r="E8" s="114">
        <f>1592.29149/E96</f>
        <v>0.18157359050865537</v>
      </c>
      <c r="F8" s="114">
        <f>1487.177836/F96</f>
        <v>0.15752130115711702</v>
      </c>
      <c r="G8" s="114">
        <f>1675.4897791/G96</f>
        <v>0.15967248891417785</v>
      </c>
      <c r="H8" s="114">
        <f>1648.633413/H96</f>
        <v>0.14995728787080953</v>
      </c>
      <c r="I8" s="114">
        <f>1651.74/I96</f>
        <v>0.14199919528287294</v>
      </c>
      <c r="J8" s="124">
        <f>1676.09/J96</f>
        <v>0.14400635793453045</v>
      </c>
    </row>
    <row r="9" spans="1:10">
      <c r="A9" s="77" t="s">
        <v>20</v>
      </c>
      <c r="B9" s="109" t="s">
        <v>63</v>
      </c>
      <c r="C9" s="115" t="s">
        <v>33</v>
      </c>
      <c r="D9" s="114" t="s">
        <v>33</v>
      </c>
      <c r="E9" s="114">
        <f>418.848841/E97</f>
        <v>9.3260070593070107E-2</v>
      </c>
      <c r="F9" s="114">
        <f>434.87492/F97</f>
        <v>8.8285527190169896E-2</v>
      </c>
      <c r="G9" s="114">
        <f>456.447397/G97</f>
        <v>8.534035176239059E-2</v>
      </c>
      <c r="H9" s="114">
        <f>464.436741/H97</f>
        <v>8.3622069855602499E-2</v>
      </c>
      <c r="I9" s="114">
        <f>488.8/I97</f>
        <v>8.2144066340677294E-2</v>
      </c>
      <c r="J9" s="124">
        <f>491.67/J97</f>
        <v>8.0562018679338029E-2</v>
      </c>
    </row>
    <row r="10" spans="1:10">
      <c r="A10" s="77" t="s">
        <v>21</v>
      </c>
      <c r="B10" s="109" t="s">
        <v>63</v>
      </c>
      <c r="C10" s="115" t="s">
        <v>33</v>
      </c>
      <c r="D10" s="114" t="s">
        <v>33</v>
      </c>
      <c r="E10" s="114">
        <f>152.263355/E98</f>
        <v>0.28566886707522005</v>
      </c>
      <c r="F10" s="114">
        <f>154.084639/F98</f>
        <v>0.30497309892860835</v>
      </c>
      <c r="G10" s="114">
        <f>157.839453/G98</f>
        <v>0.28028749058263891</v>
      </c>
      <c r="H10" s="114">
        <f>140.842635/H98</f>
        <v>0.21590742248115039</v>
      </c>
      <c r="I10" s="114">
        <f>119.61/I98</f>
        <v>0.1945788203077039</v>
      </c>
      <c r="J10" s="124">
        <f>118.13/J98</f>
        <v>0.19022544283413848</v>
      </c>
    </row>
    <row r="11" spans="1:10">
      <c r="A11" s="78" t="s">
        <v>22</v>
      </c>
      <c r="B11" s="110" t="s">
        <v>63</v>
      </c>
      <c r="C11" s="116" t="s">
        <v>33</v>
      </c>
      <c r="D11" s="117" t="s">
        <v>33</v>
      </c>
      <c r="E11" s="117">
        <f>1104.1186/E99</f>
        <v>0.10795424883293196</v>
      </c>
      <c r="F11" s="117">
        <f>1163.902188/F99</f>
        <v>0.10691849380306141</v>
      </c>
      <c r="G11" s="117">
        <f>1305.753518/G99</f>
        <v>0.10605732164909826</v>
      </c>
      <c r="H11" s="117">
        <f>1419.633735/H99</f>
        <v>0.10489070146658863</v>
      </c>
      <c r="I11" s="117">
        <f>1474.53/I99</f>
        <v>0.10309526131912528</v>
      </c>
      <c r="J11" s="125">
        <f>1533.88/J99</f>
        <v>9.91647271786915E-2</v>
      </c>
    </row>
    <row r="12" spans="1:10">
      <c r="B12" s="111"/>
    </row>
    <row r="13" spans="1:10">
      <c r="A13" s="108" t="s">
        <v>65</v>
      </c>
      <c r="B13" s="107" t="s">
        <v>26</v>
      </c>
      <c r="C13" s="107">
        <v>2013</v>
      </c>
      <c r="D13" s="107">
        <v>2014</v>
      </c>
      <c r="E13" s="107">
        <v>2015</v>
      </c>
      <c r="F13" s="107">
        <v>2016</v>
      </c>
      <c r="G13" s="107">
        <v>2017</v>
      </c>
      <c r="H13" s="107">
        <v>2018</v>
      </c>
      <c r="I13" s="107">
        <v>2019</v>
      </c>
      <c r="J13" s="107">
        <v>2020</v>
      </c>
    </row>
    <row r="14" spans="1:10">
      <c r="A14" s="119" t="s">
        <v>18</v>
      </c>
      <c r="B14" s="109" t="s">
        <v>63</v>
      </c>
      <c r="C14" s="115" t="s">
        <v>33</v>
      </c>
      <c r="D14" s="114" t="s">
        <v>33</v>
      </c>
      <c r="E14" s="114">
        <f>2020.240458/E100</f>
        <v>8.4102215689741605E-2</v>
      </c>
      <c r="F14" s="114">
        <f>1968.373831/F100</f>
        <v>7.6417892178419017E-2</v>
      </c>
      <c r="G14" s="114">
        <f>2252.4105381/G100</f>
        <v>7.8435429272284737E-2</v>
      </c>
      <c r="H14" s="114">
        <f>2188.543552/H100</f>
        <v>7.1207449034488363E-2</v>
      </c>
      <c r="I14" s="114">
        <f>2234.57/I94</f>
        <v>6.8756278367726395E-2</v>
      </c>
      <c r="J14" s="124">
        <f>2300.77/J94</f>
        <v>6.8007778435629759E-2</v>
      </c>
    </row>
    <row r="15" spans="1:10">
      <c r="A15" s="77" t="s">
        <v>19</v>
      </c>
      <c r="B15" s="109" t="s">
        <v>63</v>
      </c>
      <c r="C15" s="115" t="s">
        <v>33</v>
      </c>
      <c r="D15" s="114" t="s">
        <v>33</v>
      </c>
      <c r="E15" s="114">
        <f>1592.29149/E96</f>
        <v>0.18157359050865537</v>
      </c>
      <c r="F15" s="114">
        <f>1487.177836/F96</f>
        <v>0.15752130115711702</v>
      </c>
      <c r="G15" s="114">
        <f>1675.4897791/G96</f>
        <v>0.15967248891417785</v>
      </c>
      <c r="H15" s="114">
        <f>1648.633413/H96</f>
        <v>0.14995728787080953</v>
      </c>
      <c r="I15" s="114">
        <f>1651.74/I96</f>
        <v>0.14199919528287294</v>
      </c>
      <c r="J15" s="124">
        <f>1676.09/J96</f>
        <v>0.14400635793453045</v>
      </c>
    </row>
    <row r="16" spans="1:10">
      <c r="A16" s="77" t="s">
        <v>20</v>
      </c>
      <c r="B16" s="109" t="s">
        <v>63</v>
      </c>
      <c r="C16" s="115" t="s">
        <v>33</v>
      </c>
      <c r="D16" s="114" t="s">
        <v>33</v>
      </c>
      <c r="E16" s="114">
        <f>91.393013/E97</f>
        <v>2.0349391020741476E-2</v>
      </c>
      <c r="F16" s="114">
        <f>96.245168/F97</f>
        <v>1.9539078952601981E-2</v>
      </c>
      <c r="G16" s="114">
        <f>106.856788/G97</f>
        <v>1.9978634857061518E-2</v>
      </c>
      <c r="H16" s="114">
        <f>142.796769/H97</f>
        <v>2.5710630400949123E-2</v>
      </c>
      <c r="I16" s="114">
        <f>148.06/I97</f>
        <v>2.4881854464813176E-2</v>
      </c>
      <c r="J16" s="124">
        <f>136.57/J97</f>
        <v>2.2377519252826477E-2</v>
      </c>
    </row>
    <row r="17" spans="1:10">
      <c r="A17" s="77" t="s">
        <v>21</v>
      </c>
      <c r="B17" s="109" t="s">
        <v>63</v>
      </c>
      <c r="C17" s="115" t="s">
        <v>33</v>
      </c>
      <c r="D17" s="114" t="s">
        <v>33</v>
      </c>
      <c r="E17" s="114">
        <f>152.263355/E98</f>
        <v>0.28566886707522005</v>
      </c>
      <c r="F17" s="114">
        <f>154.084639/F98</f>
        <v>0.30497309892860835</v>
      </c>
      <c r="G17" s="114">
        <f>157.839453/G98</f>
        <v>0.28028749058263891</v>
      </c>
      <c r="H17" s="114">
        <f>140.842635/H98</f>
        <v>0.21590742248115039</v>
      </c>
      <c r="I17" s="114">
        <f>119.61/I98</f>
        <v>0.1945788203077039</v>
      </c>
      <c r="J17" s="124">
        <f>120.92/J98</f>
        <v>0.19471819645732691</v>
      </c>
    </row>
    <row r="18" spans="1:10">
      <c r="A18" s="78" t="s">
        <v>22</v>
      </c>
      <c r="B18" s="110" t="s">
        <v>63</v>
      </c>
      <c r="C18" s="116" t="s">
        <v>33</v>
      </c>
      <c r="D18" s="117" t="s">
        <v>33</v>
      </c>
      <c r="E18" s="117">
        <f>184.2926/E99</f>
        <v>1.80190508505771E-2</v>
      </c>
      <c r="F18" s="117">
        <f>230.866188/F99</f>
        <v>2.1207851781282511E-2</v>
      </c>
      <c r="G18" s="117">
        <f>312.224518/G99</f>
        <v>2.535983681129984E-2</v>
      </c>
      <c r="H18" s="117">
        <f>256.270735/H99</f>
        <v>1.8934755139154432E-2</v>
      </c>
      <c r="I18" s="117">
        <f>315.16/I99</f>
        <v>2.2035158699609723E-2</v>
      </c>
      <c r="J18" s="125">
        <f>367.2/J99</f>
        <v>2.3739332816136539E-2</v>
      </c>
    </row>
    <row r="19" spans="1:10">
      <c r="B19" s="111"/>
    </row>
    <row r="20" spans="1:10">
      <c r="A20" s="108" t="s">
        <v>64</v>
      </c>
      <c r="B20" s="107" t="s">
        <v>26</v>
      </c>
      <c r="C20" s="107">
        <v>2013</v>
      </c>
      <c r="D20" s="107">
        <v>2014</v>
      </c>
      <c r="E20" s="107">
        <v>2015</v>
      </c>
      <c r="F20" s="107">
        <v>2016</v>
      </c>
      <c r="G20" s="107">
        <v>2017</v>
      </c>
      <c r="H20" s="107">
        <v>2018</v>
      </c>
      <c r="I20" s="107">
        <v>2019</v>
      </c>
      <c r="J20" s="107">
        <v>2020</v>
      </c>
    </row>
    <row r="21" spans="1:10">
      <c r="A21" s="119" t="s">
        <v>18</v>
      </c>
      <c r="B21" s="109" t="s">
        <v>63</v>
      </c>
      <c r="C21" s="115" t="s">
        <v>33</v>
      </c>
      <c r="D21" s="114" t="s">
        <v>33</v>
      </c>
      <c r="E21" s="114">
        <f>1247.281828/E100</f>
        <v>5.1924098890782228E-2</v>
      </c>
      <c r="F21" s="114">
        <f>1271.665752/F100</f>
        <v>4.93696953255848E-2</v>
      </c>
      <c r="G21" s="114">
        <f>1343.119609/G100</f>
        <v>4.6771297378498194E-2</v>
      </c>
      <c r="H21" s="114">
        <f>1485.002972/H100</f>
        <v>4.8316732535717777E-2</v>
      </c>
      <c r="I21" s="114">
        <f>1500.1092/I100</f>
        <v>4.6157393027377681E-2</v>
      </c>
      <c r="J21" s="124">
        <f>1519/J100</f>
        <v>4.4899648251603558E-2</v>
      </c>
    </row>
    <row r="22" spans="1:10">
      <c r="A22" s="77" t="s">
        <v>19</v>
      </c>
      <c r="B22" s="109" t="s">
        <v>63</v>
      </c>
      <c r="C22" s="115" t="s">
        <v>33</v>
      </c>
      <c r="D22" s="114" t="s">
        <v>33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124">
        <v>0</v>
      </c>
    </row>
    <row r="23" spans="1:10">
      <c r="A23" s="77" t="s">
        <v>20</v>
      </c>
      <c r="B23" s="109" t="s">
        <v>63</v>
      </c>
      <c r="C23" s="115" t="s">
        <v>33</v>
      </c>
      <c r="D23" s="114" t="s">
        <v>33</v>
      </c>
      <c r="E23" s="114">
        <f>327.455828/E97</f>
        <v>7.2910679572328635E-2</v>
      </c>
      <c r="F23" s="114">
        <f>338.629752/F97</f>
        <v>6.8746448237567911E-2</v>
      </c>
      <c r="G23" s="114">
        <f>349.590609/G97</f>
        <v>6.5361716905329062E-2</v>
      </c>
      <c r="H23" s="114">
        <f>321.639972/H97</f>
        <v>5.7911439454653379E-2</v>
      </c>
      <c r="I23" s="114">
        <f>340.7442/I97</f>
        <v>5.7262917696401412E-2</v>
      </c>
      <c r="J23" s="124">
        <f>355.1/J97</f>
        <v>5.8184499426511556E-2</v>
      </c>
    </row>
    <row r="24" spans="1:10">
      <c r="A24" s="77" t="s">
        <v>21</v>
      </c>
      <c r="B24" s="109" t="s">
        <v>63</v>
      </c>
      <c r="C24" s="115" t="s">
        <v>33</v>
      </c>
      <c r="D24" s="114" t="s">
        <v>33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24">
        <v>0</v>
      </c>
    </row>
    <row r="25" spans="1:10">
      <c r="A25" s="78" t="s">
        <v>22</v>
      </c>
      <c r="B25" s="110" t="s">
        <v>63</v>
      </c>
      <c r="C25" s="116" t="s">
        <v>33</v>
      </c>
      <c r="D25" s="117" t="s">
        <v>33</v>
      </c>
      <c r="E25" s="117">
        <f>919.826/E99</f>
        <v>8.9935197982354859E-2</v>
      </c>
      <c r="F25" s="117">
        <f>933.036/F99</f>
        <v>8.5710642021778902E-2</v>
      </c>
      <c r="G25" s="117">
        <f>993.529/G99</f>
        <v>8.0697484837798428E-2</v>
      </c>
      <c r="H25" s="117">
        <f>1163.363/H99</f>
        <v>8.595594632743421E-2</v>
      </c>
      <c r="I25" s="117">
        <f>1159.365/I99</f>
        <v>8.1059753032659679E-2</v>
      </c>
      <c r="J25" s="125">
        <f>1166.68/J99</f>
        <v>7.5425394362554951E-2</v>
      </c>
    </row>
    <row r="27" spans="1:10">
      <c r="A27" s="108" t="s">
        <v>67</v>
      </c>
      <c r="B27" s="107" t="s">
        <v>26</v>
      </c>
      <c r="C27" s="107">
        <v>2013</v>
      </c>
      <c r="D27" s="107">
        <v>2014</v>
      </c>
      <c r="E27" s="107">
        <v>2015</v>
      </c>
      <c r="F27" s="107">
        <v>2016</v>
      </c>
      <c r="G27" s="107">
        <v>2017</v>
      </c>
      <c r="H27" s="107">
        <v>2018</v>
      </c>
      <c r="I27" s="107">
        <v>2019</v>
      </c>
      <c r="J27" s="107">
        <v>2020</v>
      </c>
    </row>
    <row r="28" spans="1:10">
      <c r="A28" s="119" t="s">
        <v>18</v>
      </c>
      <c r="B28" s="109" t="s">
        <v>0</v>
      </c>
      <c r="C28" s="115" t="s">
        <v>33</v>
      </c>
      <c r="D28" s="114" t="s">
        <v>33</v>
      </c>
      <c r="E28" s="112">
        <v>0.38172098575856506</v>
      </c>
      <c r="F28" s="112">
        <v>0.39248463465453898</v>
      </c>
      <c r="G28" s="112">
        <v>0.37355259281675124</v>
      </c>
      <c r="H28" s="112">
        <v>0.40424232068334598</v>
      </c>
      <c r="I28" s="112">
        <v>0.40200000000000002</v>
      </c>
      <c r="J28" s="126">
        <v>0.39800000000000002</v>
      </c>
    </row>
    <row r="29" spans="1:10">
      <c r="A29" s="77" t="s">
        <v>19</v>
      </c>
      <c r="B29" s="109" t="s">
        <v>0</v>
      </c>
      <c r="C29" s="115" t="s">
        <v>33</v>
      </c>
      <c r="D29" s="114" t="s">
        <v>33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26">
        <v>0</v>
      </c>
    </row>
    <row r="30" spans="1:10">
      <c r="A30" s="77" t="s">
        <v>20</v>
      </c>
      <c r="B30" s="109" t="s">
        <v>0</v>
      </c>
      <c r="C30" s="115" t="s">
        <v>33</v>
      </c>
      <c r="D30" s="114" t="s">
        <v>33</v>
      </c>
      <c r="E30" s="112">
        <v>0.78179953230430455</v>
      </c>
      <c r="F30" s="112">
        <v>0.77868310271836327</v>
      </c>
      <c r="G30" s="112">
        <v>0.76589462728385327</v>
      </c>
      <c r="H30" s="112">
        <v>0.69253774218521613</v>
      </c>
      <c r="I30" s="112">
        <v>0.69699999999999995</v>
      </c>
      <c r="J30" s="126">
        <v>0.72219999999999995</v>
      </c>
    </row>
    <row r="31" spans="1:10">
      <c r="A31" s="77" t="s">
        <v>21</v>
      </c>
      <c r="B31" s="109" t="s">
        <v>0</v>
      </c>
      <c r="C31" s="115" t="s">
        <v>33</v>
      </c>
      <c r="D31" s="114" t="s">
        <v>33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26">
        <v>0</v>
      </c>
    </row>
    <row r="32" spans="1:10">
      <c r="A32" s="78" t="s">
        <v>22</v>
      </c>
      <c r="B32" s="110" t="s">
        <v>0</v>
      </c>
      <c r="C32" s="116" t="s">
        <v>33</v>
      </c>
      <c r="D32" s="117" t="s">
        <v>33</v>
      </c>
      <c r="E32" s="113">
        <v>0.83308622823671297</v>
      </c>
      <c r="F32" s="113">
        <v>0.80164468253409615</v>
      </c>
      <c r="G32" s="113">
        <v>0.7608855624771903</v>
      </c>
      <c r="H32" s="113">
        <v>0.81948108960653854</v>
      </c>
      <c r="I32" s="113">
        <v>0.78600000000000003</v>
      </c>
      <c r="J32" s="127">
        <v>0.76100000000000001</v>
      </c>
    </row>
    <row r="34" spans="1:10">
      <c r="A34" s="108" t="s">
        <v>68</v>
      </c>
      <c r="B34" s="107" t="s">
        <v>26</v>
      </c>
      <c r="C34" s="107">
        <v>2013</v>
      </c>
      <c r="D34" s="107">
        <v>2014</v>
      </c>
      <c r="E34" s="107">
        <v>2015</v>
      </c>
      <c r="F34" s="107">
        <v>2016</v>
      </c>
      <c r="G34" s="107">
        <v>2017</v>
      </c>
      <c r="H34" s="107">
        <v>2018</v>
      </c>
      <c r="I34" s="107" t="s">
        <v>156</v>
      </c>
      <c r="J34" s="107">
        <v>2020</v>
      </c>
    </row>
    <row r="35" spans="1:10">
      <c r="A35" s="119" t="s">
        <v>18</v>
      </c>
      <c r="B35" s="109" t="s">
        <v>157</v>
      </c>
      <c r="C35" s="115" t="s">
        <v>33</v>
      </c>
      <c r="D35" s="114" t="s">
        <v>33</v>
      </c>
      <c r="E35" s="114">
        <f>8458.694596/E100</f>
        <v>0.35213380394862065</v>
      </c>
      <c r="F35" s="114">
        <f>8831.02807/F100</f>
        <v>0.34284572384047907</v>
      </c>
      <c r="G35" s="114">
        <f>9843.7656157/G100</f>
        <v>0.34278830109473896</v>
      </c>
      <c r="H35" s="114">
        <f>10967.71179005/H100</f>
        <v>0.35685046230916517</v>
      </c>
      <c r="I35" s="114">
        <f>11330.87/I100</f>
        <v>0.34864356536985641</v>
      </c>
      <c r="J35" s="124">
        <f>11730.7/J100</f>
        <v>0.3467441104312613</v>
      </c>
    </row>
    <row r="36" spans="1:10">
      <c r="A36" s="77" t="s">
        <v>19</v>
      </c>
      <c r="B36" s="109" t="s">
        <v>157</v>
      </c>
      <c r="C36" s="115" t="s">
        <v>33</v>
      </c>
      <c r="D36" s="114" t="s">
        <v>33</v>
      </c>
      <c r="E36" s="114">
        <f>666.88267/E96</f>
        <v>7.6046554038858002E-2</v>
      </c>
      <c r="F36" s="114">
        <f>585.749703/F96</f>
        <v>6.2042381977077038E-2</v>
      </c>
      <c r="G36" s="114">
        <f>675.7905777/G96</f>
        <v>6.4402161607975336E-2</v>
      </c>
      <c r="H36" s="114">
        <f>719.62327/H96</f>
        <v>6.5455881827334583E-2</v>
      </c>
      <c r="I36" s="114">
        <f>808.09/I96</f>
        <v>6.9471060648853208E-2</v>
      </c>
      <c r="J36" s="124">
        <f>682.91/J96</f>
        <v>5.8674284732365321E-2</v>
      </c>
    </row>
    <row r="37" spans="1:10">
      <c r="A37" s="77" t="s">
        <v>20</v>
      </c>
      <c r="B37" s="109" t="s">
        <v>157</v>
      </c>
      <c r="C37" s="115" t="s">
        <v>33</v>
      </c>
      <c r="D37" s="114" t="s">
        <v>33</v>
      </c>
      <c r="E37" s="114">
        <f>1996.431/E97</f>
        <v>0.444521454445647</v>
      </c>
      <c r="F37" s="114">
        <f>2168.657/F97</f>
        <v>0.44026688533717301</v>
      </c>
      <c r="G37" s="114">
        <f>2288.092/G97</f>
        <v>0.42779645021113311</v>
      </c>
      <c r="H37" s="114">
        <f>2308.41100005/H97</f>
        <v>0.41563056679364291</v>
      </c>
      <c r="I37" s="114">
        <f>2442.83/I97</f>
        <v>0.4105237102679965</v>
      </c>
      <c r="J37" s="124">
        <f>2526.7/J97</f>
        <v>0.41400950352285759</v>
      </c>
    </row>
    <row r="38" spans="1:10">
      <c r="A38" s="77" t="s">
        <v>21</v>
      </c>
      <c r="B38" s="109" t="s">
        <v>157</v>
      </c>
      <c r="C38" s="115" t="s">
        <v>33</v>
      </c>
      <c r="D38" s="114" t="s">
        <v>33</v>
      </c>
      <c r="E38" s="114">
        <f>145.19448/E98</f>
        <v>0.27240659846997128</v>
      </c>
      <c r="F38" s="114">
        <f>148.19243/F98</f>
        <v>0.29331090307360791</v>
      </c>
      <c r="G38" s="114">
        <f>163.30028/G98</f>
        <v>0.28998469535143595</v>
      </c>
      <c r="H38" s="114">
        <f>148.15572/H98</f>
        <v>0.2271181565939818</v>
      </c>
      <c r="I38" s="114">
        <f>139.87/I98</f>
        <v>0.22753732628073361</v>
      </c>
      <c r="J38" s="124">
        <f>156.05/J98</f>
        <v>0.25128824476650563</v>
      </c>
    </row>
    <row r="39" spans="1:10">
      <c r="A39" s="78" t="s">
        <v>22</v>
      </c>
      <c r="B39" s="110" t="s">
        <v>157</v>
      </c>
      <c r="C39" s="116" t="s">
        <v>33</v>
      </c>
      <c r="D39" s="117" t="s">
        <v>33</v>
      </c>
      <c r="E39" s="117">
        <f>5650.186446/E99</f>
        <v>0.55244213216220017</v>
      </c>
      <c r="F39" s="117">
        <f>5928.428937/F99</f>
        <v>0.54459790444394662</v>
      </c>
      <c r="G39" s="117">
        <f>6716.582758/G99</f>
        <v>0.54554153454556764</v>
      </c>
      <c r="H39" s="117">
        <f>7791.5218/H99</f>
        <v>0.57568242212433574</v>
      </c>
      <c r="I39" s="117">
        <f>7940.08/I99</f>
        <v>0.5551495205216308</v>
      </c>
      <c r="J39" s="125">
        <f>8356.04/J99</f>
        <v>0.54021463666925273</v>
      </c>
    </row>
    <row r="41" spans="1:10">
      <c r="A41" s="24" t="s">
        <v>69</v>
      </c>
      <c r="B41" s="107" t="s">
        <v>26</v>
      </c>
      <c r="C41" s="107">
        <v>2013</v>
      </c>
      <c r="D41" s="107">
        <v>2014</v>
      </c>
      <c r="E41" s="107">
        <v>2015</v>
      </c>
      <c r="F41" s="107">
        <v>2016</v>
      </c>
      <c r="G41" s="107">
        <v>2017</v>
      </c>
      <c r="H41" s="107">
        <v>2018</v>
      </c>
      <c r="I41" s="107">
        <v>2019</v>
      </c>
      <c r="J41" s="107">
        <v>2020</v>
      </c>
    </row>
    <row r="42" spans="1:10">
      <c r="A42" s="119" t="s">
        <v>18</v>
      </c>
      <c r="B42" s="29" t="s">
        <v>29</v>
      </c>
      <c r="C42" s="115" t="s">
        <v>33</v>
      </c>
      <c r="D42" s="114" t="s">
        <v>33</v>
      </c>
      <c r="E42" s="105">
        <v>185.36475399999998</v>
      </c>
      <c r="F42" s="105">
        <v>189.12400999999997</v>
      </c>
      <c r="G42" s="105">
        <v>205.24519800000002</v>
      </c>
      <c r="H42" s="105">
        <v>222.18333900000002</v>
      </c>
      <c r="I42" s="105">
        <v>238.86799999999999</v>
      </c>
      <c r="J42" s="128">
        <v>240.38</v>
      </c>
    </row>
    <row r="43" spans="1:10">
      <c r="A43" s="275" t="s">
        <v>18</v>
      </c>
      <c r="B43" s="29" t="s">
        <v>0</v>
      </c>
      <c r="C43" s="115" t="s">
        <v>33</v>
      </c>
      <c r="D43" s="114" t="s">
        <v>33</v>
      </c>
      <c r="E43" s="114" t="s">
        <v>33</v>
      </c>
      <c r="F43" s="114" t="s">
        <v>33</v>
      </c>
      <c r="G43" s="114" t="s">
        <v>33</v>
      </c>
      <c r="H43" s="105">
        <v>87</v>
      </c>
      <c r="I43" s="105">
        <v>87</v>
      </c>
      <c r="J43" s="128">
        <v>88</v>
      </c>
    </row>
    <row r="44" spans="1:10">
      <c r="A44" s="77" t="s">
        <v>19</v>
      </c>
      <c r="B44" s="29" t="s">
        <v>29</v>
      </c>
      <c r="C44" s="115" t="s">
        <v>33</v>
      </c>
      <c r="D44" s="114" t="s">
        <v>33</v>
      </c>
      <c r="E44" s="105">
        <v>169.69708199999999</v>
      </c>
      <c r="F44" s="105">
        <v>172.43362099999999</v>
      </c>
      <c r="G44" s="105">
        <v>187.239822</v>
      </c>
      <c r="H44" s="105">
        <v>202.82625400000001</v>
      </c>
      <c r="I44" s="105">
        <v>219.52</v>
      </c>
      <c r="J44" s="290">
        <v>219.52</v>
      </c>
    </row>
    <row r="45" spans="1:10">
      <c r="A45" s="77" t="s">
        <v>20</v>
      </c>
      <c r="B45" s="29" t="s">
        <v>29</v>
      </c>
      <c r="C45" s="115" t="s">
        <v>33</v>
      </c>
      <c r="D45" s="114" t="s">
        <v>33</v>
      </c>
      <c r="E45" s="105">
        <v>8.2059999999999995</v>
      </c>
      <c r="F45" s="105">
        <v>8.7720000000000002</v>
      </c>
      <c r="G45" s="105">
        <v>9.3889999999999993</v>
      </c>
      <c r="H45" s="105">
        <v>9.3643610000000006</v>
      </c>
      <c r="I45" s="105">
        <v>9.52</v>
      </c>
      <c r="J45" s="290">
        <v>9.9700000000000006</v>
      </c>
    </row>
    <row r="46" spans="1:10">
      <c r="A46" s="77" t="s">
        <v>21</v>
      </c>
      <c r="B46" s="29" t="s">
        <v>29</v>
      </c>
      <c r="C46" s="115" t="s">
        <v>33</v>
      </c>
      <c r="D46" s="114" t="s">
        <v>33</v>
      </c>
      <c r="E46" s="105">
        <v>1.516518</v>
      </c>
      <c r="F46" s="105">
        <v>1.8021229999999999</v>
      </c>
      <c r="G46" s="105">
        <v>2.1766019999999999</v>
      </c>
      <c r="H46" s="105">
        <v>1.8329759999999999</v>
      </c>
      <c r="I46" s="105">
        <v>1.07</v>
      </c>
      <c r="J46" s="290">
        <v>1.31</v>
      </c>
    </row>
    <row r="47" spans="1:10">
      <c r="A47" s="78" t="s">
        <v>22</v>
      </c>
      <c r="B47" s="30" t="s">
        <v>29</v>
      </c>
      <c r="C47" s="116" t="s">
        <v>33</v>
      </c>
      <c r="D47" s="117" t="s">
        <v>33</v>
      </c>
      <c r="E47" s="65">
        <v>5.9451540000000005</v>
      </c>
      <c r="F47" s="65">
        <v>6.1162659999999995</v>
      </c>
      <c r="G47" s="65">
        <v>6.4397739999999999</v>
      </c>
      <c r="H47" s="65">
        <v>8.1597480000000004</v>
      </c>
      <c r="I47" s="65">
        <v>8.77</v>
      </c>
      <c r="J47" s="291">
        <v>9.57</v>
      </c>
    </row>
    <row r="48" spans="1:10">
      <c r="A48" s="81"/>
      <c r="B48" s="28"/>
      <c r="C48" s="105"/>
      <c r="D48" s="105"/>
      <c r="E48" s="105"/>
      <c r="F48" s="105"/>
    </row>
    <row r="49" spans="1:10">
      <c r="A49" s="108" t="s">
        <v>70</v>
      </c>
      <c r="B49" s="107" t="s">
        <v>26</v>
      </c>
      <c r="C49" s="107">
        <v>2013</v>
      </c>
      <c r="D49" s="107">
        <v>2014</v>
      </c>
      <c r="E49" s="107">
        <v>2015</v>
      </c>
      <c r="F49" s="107">
        <v>2016</v>
      </c>
      <c r="G49" s="107">
        <v>2017</v>
      </c>
      <c r="H49" s="107">
        <v>2018</v>
      </c>
      <c r="I49" s="107">
        <v>2019</v>
      </c>
      <c r="J49" s="107">
        <v>2020</v>
      </c>
    </row>
    <row r="50" spans="1:10">
      <c r="A50" s="119" t="s">
        <v>18</v>
      </c>
      <c r="B50" s="29" t="s">
        <v>71</v>
      </c>
      <c r="C50" s="115" t="s">
        <v>33</v>
      </c>
      <c r="D50" s="114" t="s">
        <v>33</v>
      </c>
      <c r="E50" s="114">
        <f>1819.540956/E100</f>
        <v>7.5747134620462411E-2</v>
      </c>
      <c r="F50" s="114">
        <f>1913.99229/F100</f>
        <v>7.4306645487782499E-2</v>
      </c>
      <c r="G50" s="114">
        <f>2297.672517/G100</f>
        <v>8.0011581880649496E-2</v>
      </c>
      <c r="H50" s="114">
        <f>2670.174129/H100</f>
        <v>8.6878000682335449E-2</v>
      </c>
      <c r="I50" s="114">
        <f>2704.24/I94</f>
        <v>8.3207721491445966E-2</v>
      </c>
      <c r="J50" s="124">
        <f>2704.24/J94</f>
        <v>7.9933828569030099E-2</v>
      </c>
    </row>
    <row r="51" spans="1:10">
      <c r="A51" s="77" t="s">
        <v>19</v>
      </c>
      <c r="B51" s="29" t="s">
        <v>71</v>
      </c>
      <c r="C51" s="115" t="s">
        <v>33</v>
      </c>
      <c r="D51" s="114" t="s">
        <v>33</v>
      </c>
      <c r="E51" s="114">
        <v>0</v>
      </c>
      <c r="F51" s="114">
        <v>0</v>
      </c>
      <c r="G51" s="114">
        <f>0.66694/G97</f>
        <v>1.2469540757269074E-4</v>
      </c>
      <c r="H51" s="114">
        <f>2.7046/H96</f>
        <v>2.4600646667555524E-4</v>
      </c>
      <c r="I51" s="114">
        <v>0</v>
      </c>
      <c r="J51" s="124">
        <v>0</v>
      </c>
    </row>
    <row r="52" spans="1:10">
      <c r="A52" s="77" t="s">
        <v>20</v>
      </c>
      <c r="B52" s="29" t="s">
        <v>71</v>
      </c>
      <c r="C52" s="115" t="s">
        <v>33</v>
      </c>
      <c r="D52" s="114" t="s">
        <v>33</v>
      </c>
      <c r="E52" s="114">
        <f>87.546/E97</f>
        <v>1.949282256732069E-2</v>
      </c>
      <c r="F52" s="114">
        <f>91.502/F97</f>
        <v>1.857615129645767E-2</v>
      </c>
      <c r="G52" s="114">
        <f>89.48/G97</f>
        <v>1.6729758403461133E-2</v>
      </c>
      <c r="H52" s="114">
        <f>87.724662/H97</f>
        <v>1.5794869712564618E-2</v>
      </c>
      <c r="I52" s="114">
        <f>81.63/I97</f>
        <v>1.3718126299896658E-2</v>
      </c>
      <c r="J52" s="124">
        <f>88.89/J97</f>
        <v>1.4564968048500737E-2</v>
      </c>
    </row>
    <row r="53" spans="1:10">
      <c r="A53" s="77" t="s">
        <v>21</v>
      </c>
      <c r="B53" s="29" t="s">
        <v>71</v>
      </c>
      <c r="C53" s="115" t="s">
        <v>33</v>
      </c>
      <c r="D53" s="114" t="s">
        <v>33</v>
      </c>
      <c r="E53" s="114">
        <f>63.80647/E98</f>
        <v>0.1197104976241264</v>
      </c>
      <c r="F53" s="114">
        <f>56.664611/F98</f>
        <v>0.11215382745748009</v>
      </c>
      <c r="G53" s="114">
        <f>55.889336/G98</f>
        <v>9.9246933767376533E-2</v>
      </c>
      <c r="H53" s="114">
        <f>70.235736/H98</f>
        <v>0.10766922051569501</v>
      </c>
      <c r="I53" s="114">
        <f>65.55/I98</f>
        <v>0.10663524513978756</v>
      </c>
      <c r="J53" s="124">
        <f>60.11/J98</f>
        <v>9.679549114331723E-2</v>
      </c>
    </row>
    <row r="54" spans="1:10">
      <c r="A54" s="78" t="s">
        <v>22</v>
      </c>
      <c r="B54" s="110" t="s">
        <v>71</v>
      </c>
      <c r="C54" s="116" t="s">
        <v>33</v>
      </c>
      <c r="D54" s="117" t="s">
        <v>33</v>
      </c>
      <c r="E54" s="117">
        <f>1668.188486/E99</f>
        <v>0.16310569799102745</v>
      </c>
      <c r="F54" s="117">
        <f>1765.825679/F99</f>
        <v>0.16221244694270495</v>
      </c>
      <c r="G54" s="117">
        <f>2151.636241/G99</f>
        <v>0.1747625212093005</v>
      </c>
      <c r="H54" s="117">
        <f>2509.509131/H99</f>
        <v>0.18541696114836217</v>
      </c>
      <c r="I54" s="117">
        <f>2557.06/I99</f>
        <v>0.17878291313753025</v>
      </c>
      <c r="J54" s="125">
        <f>2557.06/J99</f>
        <v>0.16531290405999483</v>
      </c>
    </row>
    <row r="55" spans="1:10">
      <c r="A55" s="275"/>
      <c r="B55" s="292"/>
      <c r="C55" s="114"/>
      <c r="D55" s="114"/>
      <c r="E55" s="114"/>
      <c r="F55" s="114"/>
      <c r="G55" s="114"/>
      <c r="H55" s="114"/>
      <c r="I55" s="114"/>
    </row>
    <row r="56" spans="1:10">
      <c r="A56" s="108" t="s">
        <v>223</v>
      </c>
      <c r="B56" s="107" t="s">
        <v>26</v>
      </c>
      <c r="C56" s="107">
        <v>2013</v>
      </c>
      <c r="D56" s="107">
        <v>2014</v>
      </c>
      <c r="E56" s="107">
        <v>2015</v>
      </c>
      <c r="F56" s="107">
        <v>2016</v>
      </c>
      <c r="G56" s="107">
        <v>2017</v>
      </c>
      <c r="H56" s="107">
        <v>2018</v>
      </c>
      <c r="I56" s="107">
        <v>2019</v>
      </c>
      <c r="J56" s="107">
        <v>2020</v>
      </c>
    </row>
    <row r="57" spans="1:10">
      <c r="A57" s="275" t="s">
        <v>18</v>
      </c>
      <c r="B57" s="29" t="s">
        <v>205</v>
      </c>
      <c r="C57" s="115" t="s">
        <v>33</v>
      </c>
      <c r="D57" s="114" t="s">
        <v>33</v>
      </c>
      <c r="E57" s="114" t="s">
        <v>33</v>
      </c>
      <c r="F57" s="114" t="s">
        <v>33</v>
      </c>
      <c r="G57" s="114">
        <v>666.94</v>
      </c>
      <c r="H57" s="114">
        <v>2704.6</v>
      </c>
      <c r="I57" s="114">
        <v>3134.8</v>
      </c>
      <c r="J57" s="124">
        <v>2273.4</v>
      </c>
    </row>
    <row r="58" spans="1:10">
      <c r="A58" s="77" t="s">
        <v>19</v>
      </c>
      <c r="B58" s="29" t="s">
        <v>205</v>
      </c>
      <c r="C58" s="115" t="s">
        <v>33</v>
      </c>
      <c r="D58" s="114" t="s">
        <v>33</v>
      </c>
      <c r="E58" s="114" t="s">
        <v>33</v>
      </c>
      <c r="F58" s="114" t="s">
        <v>33</v>
      </c>
      <c r="G58" s="114">
        <v>0</v>
      </c>
      <c r="H58" s="114">
        <v>0</v>
      </c>
      <c r="I58" s="114">
        <v>0</v>
      </c>
      <c r="J58" s="124">
        <v>0</v>
      </c>
    </row>
    <row r="59" spans="1:10">
      <c r="A59" s="77" t="s">
        <v>20</v>
      </c>
      <c r="B59" s="29" t="s">
        <v>205</v>
      </c>
      <c r="C59" s="115" t="s">
        <v>33</v>
      </c>
      <c r="D59" s="114" t="s">
        <v>33</v>
      </c>
      <c r="E59" s="114" t="s">
        <v>33</v>
      </c>
      <c r="F59" s="114" t="s">
        <v>33</v>
      </c>
      <c r="G59" s="114">
        <v>0</v>
      </c>
      <c r="H59" s="114">
        <v>0</v>
      </c>
      <c r="I59" s="114">
        <v>0</v>
      </c>
      <c r="J59" s="124">
        <v>0</v>
      </c>
    </row>
    <row r="60" spans="1:10">
      <c r="A60" s="77" t="s">
        <v>21</v>
      </c>
      <c r="B60" s="29" t="s">
        <v>205</v>
      </c>
      <c r="C60" s="115" t="s">
        <v>33</v>
      </c>
      <c r="D60" s="114" t="s">
        <v>33</v>
      </c>
      <c r="E60" s="114" t="s">
        <v>33</v>
      </c>
      <c r="F60" s="114" t="s">
        <v>33</v>
      </c>
      <c r="G60" s="114">
        <v>0</v>
      </c>
      <c r="H60" s="114">
        <v>0</v>
      </c>
      <c r="I60" s="114">
        <v>0</v>
      </c>
      <c r="J60" s="124">
        <v>0</v>
      </c>
    </row>
    <row r="61" spans="1:10">
      <c r="A61" s="78" t="s">
        <v>22</v>
      </c>
      <c r="B61" s="30" t="s">
        <v>205</v>
      </c>
      <c r="C61" s="116" t="s">
        <v>33</v>
      </c>
      <c r="D61" s="117" t="s">
        <v>33</v>
      </c>
      <c r="E61" s="117" t="s">
        <v>33</v>
      </c>
      <c r="F61" s="117" t="s">
        <v>33</v>
      </c>
      <c r="G61" s="117">
        <v>0</v>
      </c>
      <c r="H61" s="117">
        <v>0</v>
      </c>
      <c r="I61" s="117">
        <v>0</v>
      </c>
      <c r="J61" s="125">
        <v>0</v>
      </c>
    </row>
    <row r="63" spans="1:10">
      <c r="A63" s="108" t="s">
        <v>72</v>
      </c>
      <c r="B63" s="107" t="s">
        <v>26</v>
      </c>
      <c r="C63" s="107">
        <v>2013</v>
      </c>
      <c r="D63" s="107">
        <v>2014</v>
      </c>
      <c r="E63" s="107">
        <v>2013</v>
      </c>
      <c r="F63" s="107">
        <v>2015</v>
      </c>
      <c r="G63" s="107">
        <v>2017</v>
      </c>
      <c r="H63" s="107">
        <v>2018</v>
      </c>
      <c r="I63" s="107">
        <v>2019</v>
      </c>
      <c r="J63" s="107">
        <v>2020</v>
      </c>
    </row>
    <row r="64" spans="1:10">
      <c r="A64" s="77" t="s">
        <v>19</v>
      </c>
      <c r="B64" s="29" t="s">
        <v>71</v>
      </c>
      <c r="C64" s="115" t="s">
        <v>33</v>
      </c>
      <c r="D64" s="114" t="s">
        <v>33</v>
      </c>
      <c r="E64" s="105">
        <f>133531.81/E96</f>
        <v>15.227017377841772</v>
      </c>
      <c r="F64" s="105">
        <f>141304.216/F96</f>
        <v>14.966887903045853</v>
      </c>
      <c r="G64" s="105">
        <f>144667.78/G96</f>
        <v>13.786693769446176</v>
      </c>
      <c r="H64" s="105">
        <f>147976.68/H96</f>
        <v>13.459742733557384</v>
      </c>
      <c r="I64" s="105">
        <f>154132.8/I96</f>
        <v>13.250713530395824</v>
      </c>
      <c r="J64" s="128">
        <f>146785.8/J96</f>
        <v>12.611547383795857</v>
      </c>
    </row>
    <row r="65" spans="1:10">
      <c r="A65" s="77" t="s">
        <v>20</v>
      </c>
      <c r="B65" s="29" t="s">
        <v>71</v>
      </c>
      <c r="C65" s="115" t="s">
        <v>33</v>
      </c>
      <c r="D65" s="114" t="s">
        <v>33</v>
      </c>
      <c r="E65" s="105">
        <v>0</v>
      </c>
      <c r="F65" s="105">
        <v>0</v>
      </c>
      <c r="G65" s="105">
        <v>0</v>
      </c>
      <c r="H65" s="105">
        <v>0</v>
      </c>
      <c r="I65" s="105">
        <v>0</v>
      </c>
      <c r="J65" s="128">
        <v>0</v>
      </c>
    </row>
    <row r="66" spans="1:10">
      <c r="A66" s="77" t="s">
        <v>21</v>
      </c>
      <c r="B66" s="29" t="s">
        <v>71</v>
      </c>
      <c r="C66" s="115" t="s">
        <v>33</v>
      </c>
      <c r="D66" s="114" t="s">
        <v>33</v>
      </c>
      <c r="E66" s="105">
        <v>0</v>
      </c>
      <c r="F66" s="105">
        <v>0</v>
      </c>
      <c r="G66" s="105">
        <v>0</v>
      </c>
      <c r="H66" s="105">
        <v>0</v>
      </c>
      <c r="I66" s="105">
        <v>0</v>
      </c>
      <c r="J66" s="128">
        <v>0</v>
      </c>
    </row>
    <row r="67" spans="1:10">
      <c r="A67" s="78" t="s">
        <v>22</v>
      </c>
      <c r="B67" s="110" t="s">
        <v>71</v>
      </c>
      <c r="C67" s="116" t="s">
        <v>33</v>
      </c>
      <c r="D67" s="117" t="s">
        <v>33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129">
        <v>0</v>
      </c>
    </row>
    <row r="68" spans="1:10">
      <c r="A68" s="275"/>
      <c r="B68" s="292"/>
      <c r="C68" s="114"/>
      <c r="D68" s="114"/>
      <c r="E68" s="105"/>
      <c r="F68" s="105"/>
      <c r="G68" s="105"/>
      <c r="H68" s="105"/>
      <c r="I68" s="105"/>
    </row>
    <row r="69" spans="1:10">
      <c r="A69" s="108" t="s">
        <v>233</v>
      </c>
      <c r="B69" s="107" t="s">
        <v>26</v>
      </c>
      <c r="C69" s="107">
        <v>2013</v>
      </c>
      <c r="D69" s="107">
        <v>2014</v>
      </c>
      <c r="E69" s="107">
        <v>2013</v>
      </c>
      <c r="F69" s="107">
        <v>2015</v>
      </c>
      <c r="G69" s="107">
        <v>2017</v>
      </c>
      <c r="H69" s="107">
        <v>2018</v>
      </c>
      <c r="I69" s="107">
        <v>2019</v>
      </c>
      <c r="J69" s="107">
        <v>2020</v>
      </c>
    </row>
    <row r="70" spans="1:10">
      <c r="A70" s="77" t="s">
        <v>19</v>
      </c>
      <c r="B70" s="310" t="s">
        <v>57</v>
      </c>
      <c r="C70" s="115" t="s">
        <v>33</v>
      </c>
      <c r="D70" s="114" t="s">
        <v>33</v>
      </c>
      <c r="E70" s="114" t="s">
        <v>33</v>
      </c>
      <c r="F70" s="114" t="s">
        <v>33</v>
      </c>
      <c r="G70" s="114" t="s">
        <v>33</v>
      </c>
      <c r="H70" s="105">
        <f>697.43</f>
        <v>697.43</v>
      </c>
      <c r="I70" s="105">
        <v>703.3</v>
      </c>
      <c r="J70" s="128">
        <v>725.5</v>
      </c>
    </row>
    <row r="71" spans="1:10">
      <c r="A71" s="77" t="s">
        <v>20</v>
      </c>
      <c r="B71" s="310" t="s">
        <v>57</v>
      </c>
      <c r="C71" s="115" t="s">
        <v>33</v>
      </c>
      <c r="D71" s="114" t="s">
        <v>33</v>
      </c>
      <c r="E71" s="114" t="s">
        <v>33</v>
      </c>
      <c r="F71" s="114" t="s">
        <v>33</v>
      </c>
      <c r="G71" s="114" t="s">
        <v>33</v>
      </c>
      <c r="H71" s="105">
        <v>0</v>
      </c>
      <c r="I71" s="105">
        <v>0</v>
      </c>
      <c r="J71" s="128">
        <v>0</v>
      </c>
    </row>
    <row r="72" spans="1:10">
      <c r="A72" s="77" t="s">
        <v>21</v>
      </c>
      <c r="B72" s="310" t="s">
        <v>57</v>
      </c>
      <c r="C72" s="115" t="s">
        <v>33</v>
      </c>
      <c r="D72" s="114" t="s">
        <v>33</v>
      </c>
      <c r="E72" s="114" t="s">
        <v>33</v>
      </c>
      <c r="F72" s="114" t="s">
        <v>33</v>
      </c>
      <c r="G72" s="114" t="s">
        <v>33</v>
      </c>
      <c r="H72" s="105">
        <v>0</v>
      </c>
      <c r="I72" s="105">
        <v>0</v>
      </c>
      <c r="J72" s="128">
        <v>0</v>
      </c>
    </row>
    <row r="73" spans="1:10">
      <c r="A73" s="78" t="s">
        <v>22</v>
      </c>
      <c r="B73" s="30" t="s">
        <v>57</v>
      </c>
      <c r="C73" s="116" t="s">
        <v>33</v>
      </c>
      <c r="D73" s="117" t="s">
        <v>33</v>
      </c>
      <c r="E73" s="117" t="s">
        <v>33</v>
      </c>
      <c r="F73" s="117" t="s">
        <v>33</v>
      </c>
      <c r="G73" s="117" t="s">
        <v>33</v>
      </c>
      <c r="H73" s="65">
        <v>0</v>
      </c>
      <c r="I73" s="65">
        <v>0</v>
      </c>
      <c r="J73" s="129">
        <v>0</v>
      </c>
    </row>
    <row r="74" spans="1:10">
      <c r="A74" s="275"/>
      <c r="B74" s="292"/>
      <c r="C74" s="114"/>
      <c r="D74" s="114"/>
      <c r="E74" s="105"/>
      <c r="F74" s="105"/>
      <c r="G74" s="105"/>
      <c r="H74" s="105"/>
      <c r="I74" s="105"/>
      <c r="J74" s="105"/>
    </row>
    <row r="75" spans="1:10">
      <c r="A75" s="108" t="s">
        <v>224</v>
      </c>
      <c r="B75" s="107" t="s">
        <v>26</v>
      </c>
      <c r="C75" s="107">
        <v>2013</v>
      </c>
      <c r="D75" s="107">
        <v>2014</v>
      </c>
      <c r="E75" s="107">
        <v>2013</v>
      </c>
      <c r="F75" s="107">
        <v>2015</v>
      </c>
      <c r="G75" s="107">
        <v>2017</v>
      </c>
      <c r="H75" s="107">
        <v>2018</v>
      </c>
      <c r="I75" s="107">
        <v>2019</v>
      </c>
      <c r="J75" s="107">
        <v>2020</v>
      </c>
    </row>
    <row r="76" spans="1:10">
      <c r="A76" s="275" t="s">
        <v>18</v>
      </c>
      <c r="B76" s="29" t="s">
        <v>205</v>
      </c>
      <c r="C76" s="115" t="s">
        <v>33</v>
      </c>
      <c r="D76" s="114" t="s">
        <v>33</v>
      </c>
      <c r="E76" s="114" t="s">
        <v>33</v>
      </c>
      <c r="F76" s="114" t="s">
        <v>33</v>
      </c>
      <c r="G76" s="114" t="s">
        <v>33</v>
      </c>
      <c r="H76" s="105">
        <f>SUM(H77:H80)</f>
        <v>40343.5805770999</v>
      </c>
      <c r="I76" s="105">
        <f>SUM(I77:I80)</f>
        <v>47071.979657999997</v>
      </c>
      <c r="J76" s="128">
        <f>SUM(J77:J80)</f>
        <v>53054.253908000006</v>
      </c>
    </row>
    <row r="77" spans="1:10">
      <c r="A77" s="77" t="s">
        <v>19</v>
      </c>
      <c r="B77" s="29" t="s">
        <v>205</v>
      </c>
      <c r="C77" s="115" t="s">
        <v>33</v>
      </c>
      <c r="D77" s="114" t="s">
        <v>33</v>
      </c>
      <c r="E77" s="114" t="s">
        <v>33</v>
      </c>
      <c r="F77" s="114" t="s">
        <v>33</v>
      </c>
      <c r="G77" s="114" t="s">
        <v>33</v>
      </c>
      <c r="H77" s="105">
        <v>37437.106999999902</v>
      </c>
      <c r="I77" s="105">
        <v>44209.633166</v>
      </c>
      <c r="J77" s="128">
        <v>50282.750374000003</v>
      </c>
    </row>
    <row r="78" spans="1:10">
      <c r="A78" s="77" t="s">
        <v>20</v>
      </c>
      <c r="B78" s="29" t="s">
        <v>205</v>
      </c>
      <c r="C78" s="115" t="s">
        <v>33</v>
      </c>
      <c r="D78" s="114" t="s">
        <v>33</v>
      </c>
      <c r="E78" s="114" t="s">
        <v>33</v>
      </c>
      <c r="F78" s="114" t="s">
        <v>33</v>
      </c>
      <c r="G78" s="114" t="s">
        <v>33</v>
      </c>
      <c r="H78" s="105">
        <v>682.44312809999997</v>
      </c>
      <c r="I78" s="105">
        <v>685.56887200000006</v>
      </c>
      <c r="J78" s="128">
        <v>621.25206400000002</v>
      </c>
    </row>
    <row r="79" spans="1:10">
      <c r="A79" s="77" t="s">
        <v>21</v>
      </c>
      <c r="B79" s="29" t="s">
        <v>205</v>
      </c>
      <c r="C79" s="115" t="s">
        <v>33</v>
      </c>
      <c r="D79" s="114" t="s">
        <v>33</v>
      </c>
      <c r="E79" s="114" t="s">
        <v>33</v>
      </c>
      <c r="F79" s="114" t="s">
        <v>33</v>
      </c>
      <c r="G79" s="114" t="s">
        <v>33</v>
      </c>
      <c r="H79" s="105">
        <v>184.35296</v>
      </c>
      <c r="I79" s="105">
        <v>171.19238999999999</v>
      </c>
      <c r="J79" s="128">
        <v>173.16676000000001</v>
      </c>
    </row>
    <row r="80" spans="1:10">
      <c r="A80" s="78" t="s">
        <v>22</v>
      </c>
      <c r="B80" s="30" t="s">
        <v>205</v>
      </c>
      <c r="C80" s="116" t="s">
        <v>33</v>
      </c>
      <c r="D80" s="117" t="s">
        <v>33</v>
      </c>
      <c r="E80" s="117" t="s">
        <v>33</v>
      </c>
      <c r="F80" s="117" t="s">
        <v>33</v>
      </c>
      <c r="G80" s="117" t="s">
        <v>33</v>
      </c>
      <c r="H80" s="65">
        <v>2039.6774889999999</v>
      </c>
      <c r="I80" s="65">
        <v>2005.5852299999999</v>
      </c>
      <c r="J80" s="129">
        <v>1977.0847099999999</v>
      </c>
    </row>
    <row r="81" spans="1:10">
      <c r="A81" s="275"/>
      <c r="B81" s="292"/>
      <c r="C81" s="114"/>
      <c r="D81" s="114"/>
      <c r="E81" s="105"/>
      <c r="F81" s="105"/>
      <c r="G81" s="105"/>
      <c r="H81" s="105"/>
      <c r="I81" s="105"/>
    </row>
    <row r="82" spans="1:10">
      <c r="A82" s="40" t="s">
        <v>45</v>
      </c>
      <c r="B82" s="41" t="s">
        <v>26</v>
      </c>
      <c r="C82" s="42">
        <v>2013</v>
      </c>
      <c r="D82" s="42">
        <v>2014</v>
      </c>
      <c r="E82" s="42">
        <v>2015</v>
      </c>
      <c r="F82" s="42">
        <v>2016</v>
      </c>
      <c r="G82" s="42">
        <v>2017</v>
      </c>
      <c r="H82" s="42">
        <v>2018</v>
      </c>
      <c r="I82" s="42">
        <v>2019</v>
      </c>
      <c r="J82" s="42">
        <v>2020</v>
      </c>
    </row>
    <row r="83" spans="1:10">
      <c r="A83" s="26" t="s">
        <v>46</v>
      </c>
      <c r="B83" s="118" t="s">
        <v>57</v>
      </c>
      <c r="C83" s="44">
        <v>4372.5321619999995</v>
      </c>
      <c r="D83" s="44">
        <v>4518.1393589999998</v>
      </c>
      <c r="E83" s="44">
        <v>5080.8265190000002</v>
      </c>
      <c r="F83" s="44">
        <v>5591.5917499999996</v>
      </c>
      <c r="G83" s="44">
        <v>6251.5823550000005</v>
      </c>
      <c r="H83" s="44">
        <v>6536.0211339999996</v>
      </c>
      <c r="I83" s="44">
        <v>6899.5893500000002</v>
      </c>
      <c r="J83" s="46">
        <v>7217.4462370000001</v>
      </c>
    </row>
    <row r="84" spans="1:10">
      <c r="A84" s="26" t="s">
        <v>47</v>
      </c>
      <c r="B84" s="118" t="s">
        <v>57</v>
      </c>
      <c r="C84" s="44">
        <v>247.24600000000001</v>
      </c>
      <c r="D84" s="44">
        <v>252.08600000000001</v>
      </c>
      <c r="E84" s="44">
        <v>272.19780000000003</v>
      </c>
      <c r="F84" s="44">
        <v>338.63309100000004</v>
      </c>
      <c r="G84" s="44">
        <v>354.20138000000003</v>
      </c>
      <c r="H84" s="44">
        <v>356.11993999999993</v>
      </c>
      <c r="I84" s="44">
        <v>367.70609999999994</v>
      </c>
      <c r="J84" s="46">
        <v>392.13870000000003</v>
      </c>
    </row>
    <row r="85" spans="1:10">
      <c r="A85" s="26" t="s">
        <v>48</v>
      </c>
      <c r="B85" s="118" t="s">
        <v>57</v>
      </c>
      <c r="C85" s="44">
        <v>1048.1130000000001</v>
      </c>
      <c r="D85" s="44">
        <v>1180.258</v>
      </c>
      <c r="E85" s="44">
        <v>1111.586</v>
      </c>
      <c r="F85" s="44">
        <v>1198.6479999999999</v>
      </c>
      <c r="G85" s="44">
        <v>1454.866</v>
      </c>
      <c r="H85" s="44">
        <v>1865.9880000000001</v>
      </c>
      <c r="I85" s="44">
        <v>1930.085</v>
      </c>
      <c r="J85" s="46">
        <v>1970.3330000000001</v>
      </c>
    </row>
    <row r="86" spans="1:10">
      <c r="A86" s="26" t="s">
        <v>49</v>
      </c>
      <c r="B86" s="118" t="s">
        <v>57</v>
      </c>
      <c r="C86" s="44">
        <v>323.89350000000002</v>
      </c>
      <c r="D86" s="44">
        <v>326.86192999999992</v>
      </c>
      <c r="E86" s="44">
        <v>367.82274000000001</v>
      </c>
      <c r="F86" s="44">
        <v>368.4606</v>
      </c>
      <c r="G86" s="44">
        <v>400.65863000000002</v>
      </c>
      <c r="H86" s="44">
        <v>429.34920000000005</v>
      </c>
      <c r="I86" s="44">
        <v>457.27226999999999</v>
      </c>
      <c r="J86" s="46">
        <v>556.43480999999997</v>
      </c>
    </row>
    <row r="87" spans="1:10">
      <c r="A87" s="26" t="s">
        <v>50</v>
      </c>
      <c r="B87" s="118" t="s">
        <v>57</v>
      </c>
      <c r="C87" s="44">
        <v>406.49074999999999</v>
      </c>
      <c r="D87" s="44">
        <v>411.90854999999999</v>
      </c>
      <c r="E87" s="44">
        <v>455.32614999999998</v>
      </c>
      <c r="F87" s="44">
        <v>458.86559999999997</v>
      </c>
      <c r="G87" s="44">
        <v>496.43744999999996</v>
      </c>
      <c r="H87" s="44">
        <v>532.61374999999998</v>
      </c>
      <c r="I87" s="44">
        <v>566.41985</v>
      </c>
      <c r="J87" s="46">
        <v>691.53703000000007</v>
      </c>
    </row>
    <row r="88" spans="1:10">
      <c r="A88" s="26" t="s">
        <v>51</v>
      </c>
      <c r="B88" s="118" t="s">
        <v>57</v>
      </c>
      <c r="C88" s="44">
        <v>903.10739999999987</v>
      </c>
      <c r="D88" s="44">
        <v>965.92969999999991</v>
      </c>
      <c r="E88" s="44">
        <v>978.12216999999987</v>
      </c>
      <c r="F88" s="44">
        <v>1036.1190100000001</v>
      </c>
      <c r="G88" s="44">
        <v>1238.7735799999998</v>
      </c>
      <c r="H88" s="44">
        <v>1589.63777</v>
      </c>
      <c r="I88" s="44">
        <v>1684.1218600000002</v>
      </c>
      <c r="J88" s="46">
        <v>1679.0743799999998</v>
      </c>
    </row>
    <row r="89" spans="1:10">
      <c r="A89" s="26" t="s">
        <v>52</v>
      </c>
      <c r="B89" s="118" t="s">
        <v>57</v>
      </c>
      <c r="C89" s="44">
        <v>4338.8249210000004</v>
      </c>
      <c r="D89" s="44">
        <v>4462.0870000000004</v>
      </c>
      <c r="E89" s="44">
        <v>4712.1419999999998</v>
      </c>
      <c r="F89" s="44">
        <v>4926.1260000000002</v>
      </c>
      <c r="G89" s="44">
        <v>5437.8290900000002</v>
      </c>
      <c r="H89" s="44">
        <v>5731.6799927500006</v>
      </c>
      <c r="I89" s="44">
        <v>6123.0059099999999</v>
      </c>
      <c r="J89" s="46">
        <v>6815.6451899999993</v>
      </c>
    </row>
    <row r="90" spans="1:10">
      <c r="A90" s="26" t="s">
        <v>53</v>
      </c>
      <c r="B90" s="118" t="s">
        <v>57</v>
      </c>
      <c r="C90" s="44">
        <v>1765.0146000000002</v>
      </c>
      <c r="D90" s="44">
        <v>1933.8893</v>
      </c>
      <c r="E90" s="44">
        <v>2114.2547713556883</v>
      </c>
      <c r="F90" s="44">
        <v>2259.5249461099997</v>
      </c>
      <c r="G90" s="44">
        <v>2469.1977529999999</v>
      </c>
      <c r="H90" s="44">
        <v>2546.2440999999999</v>
      </c>
      <c r="I90" s="44">
        <v>2684.0147000000002</v>
      </c>
      <c r="J90" s="46">
        <v>2716.7742699999999</v>
      </c>
    </row>
    <row r="91" spans="1:10">
      <c r="A91" s="26" t="s">
        <v>54</v>
      </c>
      <c r="B91" s="118" t="s">
        <v>57</v>
      </c>
      <c r="C91" s="44">
        <v>27.108000000000001</v>
      </c>
      <c r="D91" s="44">
        <v>27.385999999999999</v>
      </c>
      <c r="E91" s="44">
        <v>36.082900000000002</v>
      </c>
      <c r="F91" s="44">
        <v>46.024999999999999</v>
      </c>
      <c r="G91" s="44">
        <v>47.000500000000002</v>
      </c>
      <c r="H91" s="44">
        <v>48.287999999999997</v>
      </c>
      <c r="I91" s="44">
        <v>56.695999999999998</v>
      </c>
      <c r="J91" s="46">
        <v>57.618000000000002</v>
      </c>
    </row>
    <row r="92" spans="1:10">
      <c r="A92" s="26" t="s">
        <v>55</v>
      </c>
      <c r="B92" s="118" t="s">
        <v>57</v>
      </c>
      <c r="C92" s="44">
        <v>8658.5849999999991</v>
      </c>
      <c r="D92" s="44">
        <v>8407.5130000000008</v>
      </c>
      <c r="E92" s="44">
        <v>8769.4002500000006</v>
      </c>
      <c r="F92" s="44">
        <v>9441.1220900000008</v>
      </c>
      <c r="G92" s="44">
        <v>10493.290300000001</v>
      </c>
      <c r="H92" s="44">
        <v>10994.01994</v>
      </c>
      <c r="I92" s="44">
        <v>11632.03775</v>
      </c>
      <c r="J92" s="46">
        <v>11638.93944</v>
      </c>
    </row>
    <row r="93" spans="1:10">
      <c r="A93" s="26" t="s">
        <v>56</v>
      </c>
      <c r="B93" s="118" t="s">
        <v>57</v>
      </c>
      <c r="C93" s="44">
        <v>123.178127</v>
      </c>
      <c r="D93" s="44">
        <v>129.18092999999999</v>
      </c>
      <c r="E93" s="44">
        <v>123.49</v>
      </c>
      <c r="F93" s="44">
        <v>92.906999999999996</v>
      </c>
      <c r="G93" s="44">
        <v>72.912000000000006</v>
      </c>
      <c r="H93" s="44">
        <v>104.79389999999999</v>
      </c>
      <c r="I93" s="44">
        <v>98.919629999999998</v>
      </c>
      <c r="J93" s="46">
        <v>95.041999999999987</v>
      </c>
    </row>
    <row r="94" spans="1:10">
      <c r="A94" s="48" t="s">
        <v>58</v>
      </c>
      <c r="B94" s="52" t="s">
        <v>57</v>
      </c>
      <c r="C94" s="49">
        <v>22214.093459999996</v>
      </c>
      <c r="D94" s="49">
        <v>22615.239769000003</v>
      </c>
      <c r="E94" s="49">
        <v>24021.251300355692</v>
      </c>
      <c r="F94" s="49">
        <v>25758.023087109999</v>
      </c>
      <c r="G94" s="49">
        <v>28716.749037999998</v>
      </c>
      <c r="H94" s="49">
        <v>30734.755726749998</v>
      </c>
      <c r="I94" s="49">
        <f>SUM(I83:I93)</f>
        <v>32499.868419999999</v>
      </c>
      <c r="J94" s="50">
        <f>SUM(J83:J93)</f>
        <v>33830.983056999998</v>
      </c>
    </row>
    <row r="95" spans="1:10">
      <c r="A95" s="26"/>
      <c r="B95" s="53"/>
      <c r="C95" s="45"/>
      <c r="D95" s="45"/>
      <c r="E95" s="45"/>
      <c r="F95" s="45"/>
      <c r="G95" s="45"/>
      <c r="H95" s="45"/>
      <c r="I95" s="45"/>
      <c r="J95" s="47"/>
    </row>
    <row r="96" spans="1:10">
      <c r="A96" s="26" t="s">
        <v>19</v>
      </c>
      <c r="B96" s="118" t="s">
        <v>57</v>
      </c>
      <c r="C96" s="44">
        <v>8658.5849999999991</v>
      </c>
      <c r="D96" s="44">
        <v>8407.5130000000008</v>
      </c>
      <c r="E96" s="44">
        <v>8769.4002500000006</v>
      </c>
      <c r="F96" s="44">
        <v>9441.1220900000008</v>
      </c>
      <c r="G96" s="44">
        <v>10493.290300000001</v>
      </c>
      <c r="H96" s="44">
        <v>10994.01994</v>
      </c>
      <c r="I96" s="44">
        <v>11632.03775</v>
      </c>
      <c r="J96" s="46">
        <v>11639</v>
      </c>
    </row>
    <row r="97" spans="1:10">
      <c r="A97" s="26" t="s">
        <v>20</v>
      </c>
      <c r="B97" s="118" t="s">
        <v>57</v>
      </c>
      <c r="C97" s="44">
        <v>4126.6875</v>
      </c>
      <c r="D97" s="44">
        <v>4297.3230000000003</v>
      </c>
      <c r="E97" s="44">
        <v>4491.1915500000005</v>
      </c>
      <c r="F97" s="44">
        <v>4925.7781409999998</v>
      </c>
      <c r="G97" s="44">
        <v>5348.55303</v>
      </c>
      <c r="H97" s="44">
        <v>5553.99719</v>
      </c>
      <c r="I97" s="44">
        <v>5950.5210999999999</v>
      </c>
      <c r="J97" s="46">
        <v>6103</v>
      </c>
    </row>
    <row r="98" spans="1:10">
      <c r="A98" s="26" t="s">
        <v>21</v>
      </c>
      <c r="B98" s="118" t="s">
        <v>57</v>
      </c>
      <c r="C98" s="44">
        <v>403.33886000000001</v>
      </c>
      <c r="D98" s="44">
        <v>444.28089999999997</v>
      </c>
      <c r="E98" s="44">
        <v>533.00647200000003</v>
      </c>
      <c r="F98" s="44">
        <v>505.2401000000001</v>
      </c>
      <c r="G98" s="44">
        <v>563.13413299999991</v>
      </c>
      <c r="H98" s="44">
        <v>652.32882400000005</v>
      </c>
      <c r="I98" s="44">
        <v>614.71233000000007</v>
      </c>
      <c r="J98" s="46">
        <v>621</v>
      </c>
    </row>
    <row r="99" spans="1:10">
      <c r="A99" s="26" t="s">
        <v>22</v>
      </c>
      <c r="B99" s="118" t="s">
        <v>57</v>
      </c>
      <c r="C99" s="44">
        <v>9025.4820999999993</v>
      </c>
      <c r="D99" s="44">
        <v>9466.1228690000007</v>
      </c>
      <c r="E99" s="44">
        <v>10227.653028355688</v>
      </c>
      <c r="F99" s="44">
        <v>10885.882756109999</v>
      </c>
      <c r="G99" s="44">
        <v>12311.771574999999</v>
      </c>
      <c r="H99" s="44">
        <v>13534.409772749999</v>
      </c>
      <c r="I99" s="44">
        <v>14302.597240000001</v>
      </c>
      <c r="J99" s="46">
        <v>15468</v>
      </c>
    </row>
    <row r="100" spans="1:10">
      <c r="A100" s="48" t="s">
        <v>58</v>
      </c>
      <c r="B100" s="52" t="s">
        <v>57</v>
      </c>
      <c r="C100" s="49">
        <v>22214.09346</v>
      </c>
      <c r="D100" s="49">
        <v>22615.239769</v>
      </c>
      <c r="E100" s="49">
        <v>24021.251300355689</v>
      </c>
      <c r="F100" s="49">
        <v>25758.023087110003</v>
      </c>
      <c r="G100" s="49">
        <v>28716.749038000002</v>
      </c>
      <c r="H100" s="49">
        <v>30734.755726750001</v>
      </c>
      <c r="I100" s="49">
        <f>SUM(I96:I99)</f>
        <v>32499.868419999999</v>
      </c>
      <c r="J100" s="50">
        <f>SUM(J96:J99)</f>
        <v>33831</v>
      </c>
    </row>
    <row r="102" spans="1:10">
      <c r="A102" t="s">
        <v>232</v>
      </c>
    </row>
  </sheetData>
  <pageMargins left="0.25" right="0.25" top="0.75" bottom="0.75" header="0.3" footer="0.3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341"/>
  <sheetViews>
    <sheetView showGridLines="0" topLeftCell="A49" zoomScaleNormal="100" zoomScaleSheetLayoutView="100" workbookViewId="0">
      <selection activeCell="M32" sqref="M32"/>
    </sheetView>
  </sheetViews>
  <sheetFormatPr defaultRowHeight="14.4" zeroHeight="1"/>
  <cols>
    <col min="1" max="1" width="43.6640625" customWidth="1"/>
    <col min="2" max="2" width="20.109375" bestFit="1" customWidth="1"/>
    <col min="3" max="3" width="12.6640625" bestFit="1" customWidth="1"/>
    <col min="4" max="4" width="10.88671875" customWidth="1"/>
    <col min="5" max="6" width="10.6640625" customWidth="1"/>
    <col min="7" max="7" width="10.88671875" customWidth="1"/>
    <col min="8" max="8" width="11" customWidth="1"/>
    <col min="9" max="11" width="11.109375" customWidth="1"/>
    <col min="12" max="12" width="12.6640625" bestFit="1" customWidth="1"/>
    <col min="13" max="13" width="9.109375" style="6"/>
  </cols>
  <sheetData>
    <row r="1" spans="1:13" ht="16.5" customHeight="1">
      <c r="A1" s="5"/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ht="15.6">
      <c r="A2" s="68" t="s">
        <v>73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>
      <c r="C5" s="38" t="s">
        <v>26</v>
      </c>
      <c r="D5" s="35">
        <v>2013</v>
      </c>
      <c r="E5" s="35">
        <v>2014</v>
      </c>
      <c r="F5" s="35">
        <v>2015</v>
      </c>
      <c r="G5" s="35">
        <v>2016</v>
      </c>
      <c r="H5" s="35">
        <v>2017</v>
      </c>
      <c r="I5" s="35">
        <v>2018</v>
      </c>
      <c r="J5" s="107">
        <v>2019</v>
      </c>
      <c r="K5" s="107">
        <v>2020</v>
      </c>
      <c r="L5" s="35" t="s">
        <v>28</v>
      </c>
    </row>
    <row r="6" spans="1:13">
      <c r="A6" s="359" t="s">
        <v>79</v>
      </c>
      <c r="B6" s="360"/>
      <c r="C6" s="29" t="s">
        <v>74</v>
      </c>
      <c r="D6" s="114" t="s">
        <v>33</v>
      </c>
      <c r="E6" s="44">
        <v>1155</v>
      </c>
      <c r="F6" s="44">
        <v>2288</v>
      </c>
      <c r="G6" s="44">
        <v>1934</v>
      </c>
      <c r="H6" s="44">
        <v>1985</v>
      </c>
      <c r="I6" s="44">
        <v>1712</v>
      </c>
      <c r="J6" s="44">
        <v>2274</v>
      </c>
      <c r="K6" s="131">
        <v>2035</v>
      </c>
    </row>
    <row r="7" spans="1:13">
      <c r="A7" s="361" t="s">
        <v>80</v>
      </c>
      <c r="B7" s="362"/>
      <c r="C7" s="29" t="s">
        <v>0</v>
      </c>
      <c r="D7" s="63">
        <v>4.0670418702455313</v>
      </c>
      <c r="E7" s="63">
        <v>3.6467656661651269</v>
      </c>
      <c r="F7" s="63">
        <v>4.0185965422054331</v>
      </c>
      <c r="G7" s="63">
        <v>4.4000000000000004</v>
      </c>
      <c r="H7" s="63">
        <v>5.6</v>
      </c>
      <c r="I7" s="63">
        <v>6</v>
      </c>
      <c r="J7" s="63">
        <v>7.3</v>
      </c>
      <c r="K7" s="300">
        <v>6.5</v>
      </c>
    </row>
    <row r="8" spans="1:13">
      <c r="A8" s="361" t="s">
        <v>81</v>
      </c>
      <c r="B8" s="362"/>
      <c r="C8" s="29" t="s">
        <v>74</v>
      </c>
      <c r="D8" s="44">
        <v>23267.991666666665</v>
      </c>
      <c r="E8" s="44">
        <v>19633.057500000006</v>
      </c>
      <c r="F8" s="44">
        <v>17519.972916666666</v>
      </c>
      <c r="G8" s="44">
        <v>17145.372499999998</v>
      </c>
      <c r="H8" s="44">
        <v>17220.03</v>
      </c>
      <c r="I8" s="44">
        <v>17457.969999999998</v>
      </c>
      <c r="J8" s="44">
        <v>17484</v>
      </c>
      <c r="K8" s="131">
        <v>17891</v>
      </c>
    </row>
    <row r="9" spans="1:13">
      <c r="A9" s="361" t="s">
        <v>82</v>
      </c>
      <c r="B9" s="362"/>
      <c r="C9" s="29" t="s">
        <v>75</v>
      </c>
      <c r="D9" s="114" t="s">
        <v>33</v>
      </c>
      <c r="E9" s="114" t="s">
        <v>33</v>
      </c>
      <c r="F9" s="114" t="s">
        <v>33</v>
      </c>
      <c r="G9" s="44">
        <v>190841.74600000001</v>
      </c>
      <c r="H9" s="44">
        <v>201154.45749</v>
      </c>
      <c r="I9" s="44">
        <v>221830.69813999999</v>
      </c>
      <c r="J9" s="44">
        <v>225486.19900000002</v>
      </c>
      <c r="K9" s="301">
        <v>183557</v>
      </c>
    </row>
    <row r="10" spans="1:13">
      <c r="A10" s="363" t="s">
        <v>85</v>
      </c>
      <c r="B10" s="364"/>
      <c r="C10" s="29" t="s">
        <v>75</v>
      </c>
      <c r="D10" s="114" t="s">
        <v>33</v>
      </c>
      <c r="E10" s="114" t="s">
        <v>33</v>
      </c>
      <c r="F10" s="114" t="s">
        <v>33</v>
      </c>
      <c r="G10" s="44">
        <v>14609.624</v>
      </c>
      <c r="H10" s="44">
        <v>31360.353090000001</v>
      </c>
      <c r="I10" s="44">
        <v>39582.314000000006</v>
      </c>
      <c r="J10" s="44">
        <v>64369.625</v>
      </c>
      <c r="K10" s="301">
        <v>7732</v>
      </c>
    </row>
    <row r="11" spans="1:13">
      <c r="A11" s="361" t="s">
        <v>83</v>
      </c>
      <c r="B11" s="362"/>
      <c r="C11" s="29" t="s">
        <v>75</v>
      </c>
      <c r="D11" s="114" t="s">
        <v>33</v>
      </c>
      <c r="E11" s="114" t="s">
        <v>33</v>
      </c>
      <c r="F11" s="114" t="s">
        <v>33</v>
      </c>
      <c r="G11" s="44">
        <v>61749</v>
      </c>
      <c r="H11" s="44">
        <v>64613.796930000011</v>
      </c>
      <c r="I11" s="44">
        <v>70629.862400000013</v>
      </c>
      <c r="J11" s="44">
        <v>82533</v>
      </c>
      <c r="K11" s="301">
        <v>37005</v>
      </c>
    </row>
    <row r="12" spans="1:13">
      <c r="A12" s="361" t="s">
        <v>84</v>
      </c>
      <c r="B12" s="362"/>
      <c r="C12" s="29" t="s">
        <v>75</v>
      </c>
      <c r="D12" s="114" t="s">
        <v>33</v>
      </c>
      <c r="E12" s="114" t="s">
        <v>33</v>
      </c>
      <c r="F12" s="114" t="s">
        <v>33</v>
      </c>
      <c r="G12" s="44">
        <v>25194.347000000002</v>
      </c>
      <c r="H12" s="44">
        <v>45356.43</v>
      </c>
      <c r="I12" s="44">
        <v>68916</v>
      </c>
      <c r="J12" s="44">
        <v>45001</v>
      </c>
      <c r="K12" s="302">
        <v>41092.979090000001</v>
      </c>
    </row>
    <row r="13" spans="1:13">
      <c r="A13" s="361" t="s">
        <v>86</v>
      </c>
      <c r="B13" s="362"/>
      <c r="C13" s="29" t="s">
        <v>75</v>
      </c>
      <c r="D13" s="114" t="s">
        <v>33</v>
      </c>
      <c r="E13" s="114" t="s">
        <v>33</v>
      </c>
      <c r="F13" s="114" t="s">
        <v>33</v>
      </c>
      <c r="G13" s="44">
        <v>11.982905008333885</v>
      </c>
      <c r="H13" s="44">
        <v>13.502578716761818</v>
      </c>
      <c r="I13" s="44">
        <v>14.973849315813926</v>
      </c>
      <c r="J13" s="44">
        <v>17</v>
      </c>
      <c r="K13" s="303">
        <f>(K9+K10)/K8</f>
        <v>10.691912134592812</v>
      </c>
    </row>
    <row r="14" spans="1:13">
      <c r="A14" s="361" t="s">
        <v>87</v>
      </c>
      <c r="B14" s="362"/>
      <c r="C14" s="100" t="s">
        <v>74</v>
      </c>
      <c r="D14" s="114" t="s">
        <v>33</v>
      </c>
      <c r="E14" s="114" t="s">
        <v>33</v>
      </c>
      <c r="F14" s="44">
        <v>638</v>
      </c>
      <c r="G14" s="44">
        <v>566</v>
      </c>
      <c r="H14" s="44">
        <v>554</v>
      </c>
      <c r="I14" s="44">
        <v>546</v>
      </c>
      <c r="J14" s="44">
        <v>550</v>
      </c>
      <c r="K14" s="130">
        <v>581</v>
      </c>
    </row>
    <row r="15" spans="1:13">
      <c r="A15" s="361" t="s">
        <v>88</v>
      </c>
      <c r="B15" s="362"/>
      <c r="C15" s="100" t="s">
        <v>74</v>
      </c>
      <c r="D15" s="114" t="s">
        <v>33</v>
      </c>
      <c r="E15" s="114" t="s">
        <v>33</v>
      </c>
      <c r="F15" s="44">
        <v>168</v>
      </c>
      <c r="G15" s="44">
        <v>120</v>
      </c>
      <c r="H15" s="44">
        <v>169</v>
      </c>
      <c r="I15" s="44">
        <v>133</v>
      </c>
      <c r="J15" s="44">
        <v>136</v>
      </c>
      <c r="K15" s="131">
        <v>174</v>
      </c>
    </row>
    <row r="16" spans="1:13">
      <c r="A16" s="361" t="s">
        <v>89</v>
      </c>
      <c r="B16" s="362"/>
      <c r="C16" s="100" t="s">
        <v>76</v>
      </c>
      <c r="D16" s="114" t="s">
        <v>33</v>
      </c>
      <c r="E16" s="44">
        <v>93</v>
      </c>
      <c r="F16" s="44">
        <v>92</v>
      </c>
      <c r="G16" s="44">
        <v>64</v>
      </c>
      <c r="H16" s="44">
        <v>91</v>
      </c>
      <c r="I16" s="44">
        <v>75</v>
      </c>
      <c r="J16" s="63">
        <v>82</v>
      </c>
      <c r="K16" s="304">
        <v>79.5</v>
      </c>
      <c r="L16" s="101">
        <v>123</v>
      </c>
    </row>
    <row r="17" spans="1:13">
      <c r="A17" s="361" t="s">
        <v>90</v>
      </c>
      <c r="B17" s="362"/>
      <c r="C17" s="29" t="s">
        <v>0</v>
      </c>
      <c r="D17" s="114" t="s">
        <v>33</v>
      </c>
      <c r="E17" s="114" t="s">
        <v>33</v>
      </c>
      <c r="F17" s="114" t="s">
        <v>33</v>
      </c>
      <c r="G17" s="44">
        <v>0</v>
      </c>
      <c r="H17" s="44">
        <v>0</v>
      </c>
      <c r="I17" s="44">
        <v>0</v>
      </c>
      <c r="J17" s="44">
        <v>1</v>
      </c>
      <c r="K17" s="304">
        <v>50.3</v>
      </c>
    </row>
    <row r="18" spans="1:13">
      <c r="A18" s="361" t="s">
        <v>91</v>
      </c>
      <c r="B18" s="362"/>
      <c r="C18" s="29" t="s">
        <v>77</v>
      </c>
      <c r="D18" s="44">
        <v>40.6</v>
      </c>
      <c r="E18" s="44">
        <v>40.9</v>
      </c>
      <c r="F18" s="44">
        <v>40.200000000000003</v>
      </c>
      <c r="G18" s="44">
        <v>39.808804709495774</v>
      </c>
      <c r="H18" s="44">
        <v>38.6</v>
      </c>
      <c r="I18" s="44">
        <v>38.6</v>
      </c>
      <c r="J18" s="44">
        <v>39</v>
      </c>
      <c r="K18" s="131">
        <v>39</v>
      </c>
    </row>
    <row r="19" spans="1:13">
      <c r="A19" s="361" t="s">
        <v>93</v>
      </c>
      <c r="B19" s="362"/>
      <c r="C19" s="29" t="s">
        <v>0</v>
      </c>
      <c r="D19" s="44">
        <v>27</v>
      </c>
      <c r="E19" s="44">
        <v>37</v>
      </c>
      <c r="F19" s="44">
        <v>43</v>
      </c>
      <c r="G19" s="44">
        <v>52</v>
      </c>
      <c r="H19" s="44">
        <v>54</v>
      </c>
      <c r="I19" s="44">
        <v>62</v>
      </c>
      <c r="J19" s="44">
        <v>57</v>
      </c>
      <c r="K19" s="131">
        <v>63</v>
      </c>
      <c r="L19" s="101">
        <v>65</v>
      </c>
    </row>
    <row r="20" spans="1:13">
      <c r="A20" s="369" t="s">
        <v>92</v>
      </c>
      <c r="B20" s="370"/>
      <c r="C20" s="30" t="s">
        <v>78</v>
      </c>
      <c r="D20" s="55">
        <v>44978.703012044862</v>
      </c>
      <c r="E20" s="55">
        <v>50296.160455201127</v>
      </c>
      <c r="F20" s="55">
        <v>61494.661093014722</v>
      </c>
      <c r="G20" s="55">
        <v>74887.914550442598</v>
      </c>
      <c r="H20" s="55">
        <v>76525.601310232407</v>
      </c>
      <c r="I20" s="55">
        <v>80672.098110002713</v>
      </c>
      <c r="J20" s="55">
        <v>87191</v>
      </c>
      <c r="K20" s="305">
        <v>96401</v>
      </c>
    </row>
    <row r="21" spans="1:13"/>
    <row r="22" spans="1:13"/>
    <row r="23" spans="1:13" ht="15.6">
      <c r="A23" s="67" t="s">
        <v>94</v>
      </c>
      <c r="B23" s="23"/>
      <c r="C23" s="23"/>
      <c r="D23" s="23"/>
      <c r="E23" s="23"/>
      <c r="F23" s="23"/>
      <c r="G23" s="23"/>
      <c r="H23" s="23"/>
      <c r="I23" s="35"/>
      <c r="J23" s="107"/>
      <c r="K23" s="107"/>
      <c r="L23" s="3"/>
      <c r="M23"/>
    </row>
    <row r="24" spans="1:13"/>
    <row r="25" spans="1:13"/>
    <row r="26" spans="1:13">
      <c r="A26" s="24" t="s">
        <v>95</v>
      </c>
      <c r="B26" s="38" t="s">
        <v>96</v>
      </c>
      <c r="C26" s="38" t="s">
        <v>26</v>
      </c>
      <c r="D26" s="35">
        <v>2013</v>
      </c>
      <c r="E26" s="35">
        <v>2014</v>
      </c>
      <c r="F26" s="35">
        <v>2015</v>
      </c>
      <c r="G26" s="35">
        <v>2016</v>
      </c>
      <c r="H26" s="35">
        <v>2017</v>
      </c>
      <c r="I26" s="35">
        <v>2018</v>
      </c>
      <c r="J26" s="107">
        <v>2019</v>
      </c>
      <c r="K26" s="107">
        <v>2020</v>
      </c>
    </row>
    <row r="27" spans="1:13">
      <c r="A27" s="348" t="s">
        <v>228</v>
      </c>
      <c r="B27" s="36" t="s">
        <v>22</v>
      </c>
      <c r="C27" s="356" t="s">
        <v>74</v>
      </c>
      <c r="D27" s="43">
        <v>7</v>
      </c>
      <c r="E27" s="43">
        <v>4</v>
      </c>
      <c r="F27" s="43">
        <v>1</v>
      </c>
      <c r="G27" s="43">
        <v>0</v>
      </c>
      <c r="H27" s="43">
        <v>2</v>
      </c>
      <c r="I27" s="43">
        <v>0</v>
      </c>
      <c r="J27" s="297">
        <v>4</v>
      </c>
      <c r="K27" s="69">
        <v>3</v>
      </c>
    </row>
    <row r="28" spans="1:13">
      <c r="A28" s="349"/>
      <c r="B28" s="36" t="s">
        <v>19</v>
      </c>
      <c r="C28" s="356"/>
      <c r="D28" s="43">
        <v>22</v>
      </c>
      <c r="E28" s="43">
        <v>14</v>
      </c>
      <c r="F28" s="43">
        <v>10</v>
      </c>
      <c r="G28" s="43">
        <v>9</v>
      </c>
      <c r="H28" s="43">
        <v>2</v>
      </c>
      <c r="I28" s="43">
        <v>2</v>
      </c>
      <c r="J28" s="297">
        <v>6</v>
      </c>
      <c r="K28" s="69">
        <v>4</v>
      </c>
    </row>
    <row r="29" spans="1:13">
      <c r="A29" s="349"/>
      <c r="B29" s="36" t="s">
        <v>20</v>
      </c>
      <c r="C29" s="356"/>
      <c r="D29" s="43">
        <v>2</v>
      </c>
      <c r="E29" s="43">
        <v>0</v>
      </c>
      <c r="F29" s="43">
        <v>1</v>
      </c>
      <c r="G29" s="43">
        <v>0</v>
      </c>
      <c r="H29" s="43">
        <v>1</v>
      </c>
      <c r="I29" s="43">
        <v>1</v>
      </c>
      <c r="J29" s="297">
        <v>1</v>
      </c>
      <c r="K29" s="69">
        <v>1</v>
      </c>
    </row>
    <row r="30" spans="1:13">
      <c r="A30" s="350"/>
      <c r="B30" s="30" t="s">
        <v>21</v>
      </c>
      <c r="C30" s="357"/>
      <c r="D30" s="43">
        <v>3</v>
      </c>
      <c r="E30" s="43">
        <v>0</v>
      </c>
      <c r="F30" s="43">
        <v>2</v>
      </c>
      <c r="G30" s="43">
        <v>0</v>
      </c>
      <c r="H30" s="43">
        <v>0</v>
      </c>
      <c r="I30" s="43">
        <v>1</v>
      </c>
      <c r="J30" s="297">
        <v>0</v>
      </c>
      <c r="K30" s="69">
        <v>2</v>
      </c>
    </row>
    <row r="31" spans="1:13" ht="15" customHeight="1">
      <c r="A31" s="348" t="s">
        <v>227</v>
      </c>
      <c r="B31" s="36" t="s">
        <v>22</v>
      </c>
      <c r="C31" s="356" t="s">
        <v>74</v>
      </c>
      <c r="D31" s="70" t="s">
        <v>33</v>
      </c>
      <c r="E31" s="70">
        <v>1</v>
      </c>
      <c r="F31" s="70">
        <v>2</v>
      </c>
      <c r="G31" s="70">
        <v>1</v>
      </c>
      <c r="H31" s="70">
        <v>5</v>
      </c>
      <c r="I31" s="70">
        <v>11</v>
      </c>
      <c r="J31" s="298">
        <v>2</v>
      </c>
      <c r="K31" s="295">
        <v>1</v>
      </c>
    </row>
    <row r="32" spans="1:13">
      <c r="A32" s="349"/>
      <c r="B32" s="36" t="s">
        <v>19</v>
      </c>
      <c r="C32" s="356"/>
      <c r="D32" s="70" t="s">
        <v>33</v>
      </c>
      <c r="E32" s="70">
        <v>3</v>
      </c>
      <c r="F32" s="70">
        <v>7</v>
      </c>
      <c r="G32" s="70">
        <v>4</v>
      </c>
      <c r="H32" s="70">
        <v>8</v>
      </c>
      <c r="I32" s="70">
        <v>5</v>
      </c>
      <c r="J32" s="298">
        <v>8</v>
      </c>
      <c r="K32" s="295">
        <v>5</v>
      </c>
    </row>
    <row r="33" spans="1:11">
      <c r="A33" s="349"/>
      <c r="B33" s="36" t="s">
        <v>20</v>
      </c>
      <c r="C33" s="356"/>
      <c r="D33" s="70" t="s">
        <v>33</v>
      </c>
      <c r="E33" s="70">
        <v>1</v>
      </c>
      <c r="F33" s="70">
        <v>0</v>
      </c>
      <c r="G33" s="70">
        <v>3</v>
      </c>
      <c r="H33" s="70">
        <v>3</v>
      </c>
      <c r="I33" s="70">
        <v>2</v>
      </c>
      <c r="J33" s="298">
        <v>1</v>
      </c>
      <c r="K33" s="295">
        <v>0</v>
      </c>
    </row>
    <row r="34" spans="1:11" ht="15" customHeight="1">
      <c r="A34" s="350"/>
      <c r="B34" s="30" t="s">
        <v>21</v>
      </c>
      <c r="C34" s="357"/>
      <c r="D34" s="71" t="s">
        <v>33</v>
      </c>
      <c r="E34" s="71">
        <v>0</v>
      </c>
      <c r="F34" s="71">
        <v>0</v>
      </c>
      <c r="G34" s="71">
        <v>1</v>
      </c>
      <c r="H34" s="71">
        <v>1</v>
      </c>
      <c r="I34" s="71">
        <v>0</v>
      </c>
      <c r="J34" s="299">
        <v>0</v>
      </c>
      <c r="K34" s="296">
        <v>1</v>
      </c>
    </row>
    <row r="35" spans="1:11">
      <c r="A35" s="73" t="s">
        <v>97</v>
      </c>
      <c r="B35" s="30"/>
      <c r="C35" s="30" t="s">
        <v>74</v>
      </c>
      <c r="D35" s="71">
        <v>34</v>
      </c>
      <c r="E35" s="71">
        <v>23</v>
      </c>
      <c r="F35" s="71">
        <v>23</v>
      </c>
      <c r="G35" s="71">
        <v>18</v>
      </c>
      <c r="H35" s="71">
        <v>22</v>
      </c>
      <c r="I35" s="71">
        <v>22</v>
      </c>
      <c r="J35" s="299">
        <v>22</v>
      </c>
      <c r="K35" s="72">
        <v>17</v>
      </c>
    </row>
    <row r="36" spans="1:11">
      <c r="A36" s="76"/>
      <c r="B36" s="28"/>
      <c r="C36" s="28"/>
      <c r="D36" s="70"/>
      <c r="E36" s="70"/>
      <c r="F36" s="70"/>
      <c r="G36" s="70"/>
      <c r="H36" s="70"/>
      <c r="I36" s="70"/>
      <c r="J36" s="70"/>
      <c r="K36" s="70"/>
    </row>
    <row r="37" spans="1:11">
      <c r="A37" s="24" t="s">
        <v>98</v>
      </c>
      <c r="B37" s="38" t="s">
        <v>96</v>
      </c>
      <c r="C37" s="38" t="s">
        <v>26</v>
      </c>
      <c r="D37" s="35">
        <v>2013</v>
      </c>
      <c r="E37" s="35">
        <v>2014</v>
      </c>
      <c r="F37" s="35">
        <v>2015</v>
      </c>
      <c r="G37" s="35">
        <v>2016</v>
      </c>
      <c r="H37" s="35">
        <v>2017</v>
      </c>
      <c r="I37" s="35">
        <v>2018</v>
      </c>
      <c r="J37" s="107">
        <v>2019</v>
      </c>
      <c r="K37" s="107">
        <v>2020</v>
      </c>
    </row>
    <row r="38" spans="1:11">
      <c r="A38" s="348" t="s">
        <v>226</v>
      </c>
      <c r="B38" s="36" t="s">
        <v>22</v>
      </c>
      <c r="C38" s="358" t="s">
        <v>74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5">
        <v>0</v>
      </c>
    </row>
    <row r="39" spans="1:11">
      <c r="A39" s="349"/>
      <c r="B39" s="36" t="s">
        <v>19</v>
      </c>
      <c r="C39" s="356"/>
      <c r="D39" s="70">
        <v>2</v>
      </c>
      <c r="E39" s="70">
        <v>5</v>
      </c>
      <c r="F39" s="70">
        <v>0</v>
      </c>
      <c r="G39" s="70">
        <v>1</v>
      </c>
      <c r="H39" s="70">
        <v>1</v>
      </c>
      <c r="I39" s="70">
        <v>0</v>
      </c>
      <c r="J39" s="70">
        <v>3</v>
      </c>
      <c r="K39" s="69">
        <v>0</v>
      </c>
    </row>
    <row r="40" spans="1:11">
      <c r="A40" s="349"/>
      <c r="B40" s="36" t="s">
        <v>20</v>
      </c>
      <c r="C40" s="356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69">
        <v>0</v>
      </c>
    </row>
    <row r="41" spans="1:11">
      <c r="A41" s="350"/>
      <c r="B41" s="30" t="s">
        <v>21</v>
      </c>
      <c r="C41" s="357"/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69">
        <v>0</v>
      </c>
    </row>
    <row r="42" spans="1:11">
      <c r="A42" s="348" t="s">
        <v>225</v>
      </c>
      <c r="B42" s="36" t="s">
        <v>22</v>
      </c>
      <c r="C42" s="356" t="s">
        <v>74</v>
      </c>
      <c r="D42" s="70" t="s">
        <v>33</v>
      </c>
      <c r="E42" s="70">
        <v>1</v>
      </c>
      <c r="F42" s="70">
        <v>1</v>
      </c>
      <c r="G42" s="70">
        <v>1</v>
      </c>
      <c r="H42" s="70">
        <v>0</v>
      </c>
      <c r="I42" s="70">
        <v>1</v>
      </c>
      <c r="J42" s="70">
        <v>0</v>
      </c>
      <c r="K42" s="295">
        <v>2</v>
      </c>
    </row>
    <row r="43" spans="1:11">
      <c r="A43" s="349"/>
      <c r="B43" s="36" t="s">
        <v>19</v>
      </c>
      <c r="C43" s="356"/>
      <c r="D43" s="70" t="s">
        <v>33</v>
      </c>
      <c r="E43" s="70">
        <v>3</v>
      </c>
      <c r="F43" s="70">
        <v>1</v>
      </c>
      <c r="G43" s="70">
        <v>0</v>
      </c>
      <c r="H43" s="70">
        <v>1</v>
      </c>
      <c r="I43" s="70">
        <v>1</v>
      </c>
      <c r="J43" s="70">
        <v>1</v>
      </c>
      <c r="K43" s="295">
        <v>0</v>
      </c>
    </row>
    <row r="44" spans="1:11">
      <c r="A44" s="349"/>
      <c r="B44" s="36" t="s">
        <v>20</v>
      </c>
      <c r="C44" s="356"/>
      <c r="D44" s="70" t="s">
        <v>33</v>
      </c>
      <c r="E44" s="70">
        <v>0</v>
      </c>
      <c r="F44" s="70">
        <v>0</v>
      </c>
      <c r="G44" s="70">
        <v>1</v>
      </c>
      <c r="H44" s="70">
        <v>0</v>
      </c>
      <c r="I44" s="70">
        <v>0</v>
      </c>
      <c r="J44" s="70">
        <v>1</v>
      </c>
      <c r="K44" s="295">
        <v>0</v>
      </c>
    </row>
    <row r="45" spans="1:11">
      <c r="A45" s="350"/>
      <c r="B45" s="30" t="s">
        <v>21</v>
      </c>
      <c r="C45" s="357"/>
      <c r="D45" s="71" t="s">
        <v>33</v>
      </c>
      <c r="E45" s="71">
        <v>2</v>
      </c>
      <c r="F45" s="71">
        <v>0</v>
      </c>
      <c r="G45" s="71">
        <v>0</v>
      </c>
      <c r="H45" s="71">
        <v>1</v>
      </c>
      <c r="I45" s="71">
        <v>0</v>
      </c>
      <c r="J45" s="71">
        <v>0</v>
      </c>
      <c r="K45" s="296">
        <v>0</v>
      </c>
    </row>
    <row r="46" spans="1:11">
      <c r="A46" s="73" t="s">
        <v>99</v>
      </c>
      <c r="B46" s="30"/>
      <c r="C46" s="94" t="s">
        <v>74</v>
      </c>
      <c r="D46" s="71">
        <v>2</v>
      </c>
      <c r="E46" s="71">
        <v>6</v>
      </c>
      <c r="F46" s="71">
        <v>2</v>
      </c>
      <c r="G46" s="71">
        <v>3</v>
      </c>
      <c r="H46" s="71">
        <v>3</v>
      </c>
      <c r="I46" s="71">
        <v>2</v>
      </c>
      <c r="J46" s="71">
        <v>5</v>
      </c>
      <c r="K46" s="72">
        <v>2</v>
      </c>
    </row>
    <row r="47" spans="1:11">
      <c r="A47" s="76"/>
      <c r="B47" s="28"/>
      <c r="C47" s="28"/>
      <c r="D47" s="70"/>
      <c r="E47" s="70"/>
      <c r="F47" s="70"/>
      <c r="G47" s="70"/>
      <c r="H47" s="70"/>
      <c r="I47" s="70"/>
      <c r="J47" s="70"/>
      <c r="K47" s="70"/>
    </row>
    <row r="48" spans="1:11">
      <c r="A48" s="24" t="s">
        <v>7</v>
      </c>
      <c r="B48" s="38" t="s">
        <v>96</v>
      </c>
      <c r="C48" s="38" t="s">
        <v>26</v>
      </c>
      <c r="D48" s="35">
        <v>2013</v>
      </c>
      <c r="E48" s="35">
        <v>2014</v>
      </c>
      <c r="F48" s="35">
        <v>2015</v>
      </c>
      <c r="G48" s="35">
        <v>2016</v>
      </c>
      <c r="H48" s="35">
        <v>2017</v>
      </c>
      <c r="I48" s="35">
        <v>2018</v>
      </c>
      <c r="J48" s="107">
        <v>2019</v>
      </c>
      <c r="K48" s="107">
        <v>2020</v>
      </c>
    </row>
    <row r="49" spans="1:13">
      <c r="A49" s="348" t="s">
        <v>100</v>
      </c>
      <c r="B49" s="36" t="s">
        <v>22</v>
      </c>
      <c r="C49" s="351" t="s">
        <v>102</v>
      </c>
      <c r="D49" s="354">
        <v>0.22</v>
      </c>
      <c r="E49" s="346">
        <v>0.18</v>
      </c>
      <c r="F49" s="346">
        <v>0.15</v>
      </c>
      <c r="G49" s="346">
        <v>0.11</v>
      </c>
      <c r="H49" s="346">
        <v>7.0000000000000007E-2</v>
      </c>
      <c r="I49" s="346">
        <v>0.04</v>
      </c>
      <c r="J49" s="346">
        <v>0.15</v>
      </c>
      <c r="K49" s="373">
        <v>0.1</v>
      </c>
    </row>
    <row r="50" spans="1:13">
      <c r="A50" s="349"/>
      <c r="B50" s="36" t="s">
        <v>19</v>
      </c>
      <c r="C50" s="352"/>
      <c r="D50" s="354"/>
      <c r="E50" s="346"/>
      <c r="F50" s="346"/>
      <c r="G50" s="346"/>
      <c r="H50" s="346"/>
      <c r="I50" s="346"/>
      <c r="J50" s="346"/>
      <c r="K50" s="373"/>
    </row>
    <row r="51" spans="1:13">
      <c r="A51" s="349"/>
      <c r="B51" s="36" t="s">
        <v>20</v>
      </c>
      <c r="C51" s="352"/>
      <c r="D51" s="354"/>
      <c r="E51" s="346"/>
      <c r="F51" s="346"/>
      <c r="G51" s="346"/>
      <c r="H51" s="346"/>
      <c r="I51" s="346"/>
      <c r="J51" s="346"/>
      <c r="K51" s="373"/>
    </row>
    <row r="52" spans="1:13">
      <c r="A52" s="350"/>
      <c r="B52" s="30" t="s">
        <v>21</v>
      </c>
      <c r="C52" s="353"/>
      <c r="D52" s="354"/>
      <c r="E52" s="346"/>
      <c r="F52" s="346"/>
      <c r="G52" s="346"/>
      <c r="H52" s="346"/>
      <c r="I52" s="346"/>
      <c r="J52" s="346"/>
      <c r="K52" s="373"/>
    </row>
    <row r="53" spans="1:13" ht="15" customHeight="1">
      <c r="A53" s="348" t="s">
        <v>101</v>
      </c>
      <c r="B53" s="36" t="s">
        <v>22</v>
      </c>
      <c r="C53" s="351" t="s">
        <v>102</v>
      </c>
      <c r="D53" s="354">
        <v>1.03</v>
      </c>
      <c r="E53" s="346">
        <v>0.92</v>
      </c>
      <c r="F53" s="346">
        <v>0.73</v>
      </c>
      <c r="G53" s="346">
        <v>0.52</v>
      </c>
      <c r="H53" s="346">
        <v>0.34</v>
      </c>
      <c r="I53" s="346">
        <v>0.22</v>
      </c>
      <c r="J53" s="346">
        <v>0.75</v>
      </c>
      <c r="K53" s="373">
        <v>0.52</v>
      </c>
    </row>
    <row r="54" spans="1:13">
      <c r="A54" s="349"/>
      <c r="B54" s="36" t="s">
        <v>19</v>
      </c>
      <c r="C54" s="352"/>
      <c r="D54" s="354"/>
      <c r="E54" s="346"/>
      <c r="F54" s="346"/>
      <c r="G54" s="346"/>
      <c r="H54" s="346"/>
      <c r="I54" s="346"/>
      <c r="J54" s="346"/>
      <c r="K54" s="373"/>
    </row>
    <row r="55" spans="1:13">
      <c r="A55" s="349"/>
      <c r="B55" s="36" t="s">
        <v>20</v>
      </c>
      <c r="C55" s="352"/>
      <c r="D55" s="354"/>
      <c r="E55" s="346"/>
      <c r="F55" s="346"/>
      <c r="G55" s="346"/>
      <c r="H55" s="346"/>
      <c r="I55" s="346"/>
      <c r="J55" s="346"/>
      <c r="K55" s="373"/>
    </row>
    <row r="56" spans="1:13">
      <c r="A56" s="350"/>
      <c r="B56" s="30" t="s">
        <v>21</v>
      </c>
      <c r="C56" s="353"/>
      <c r="D56" s="355"/>
      <c r="E56" s="347"/>
      <c r="F56" s="347"/>
      <c r="G56" s="347"/>
      <c r="H56" s="347"/>
      <c r="I56" s="347"/>
      <c r="J56" s="347"/>
      <c r="K56" s="374"/>
    </row>
    <row r="57" spans="1:13"/>
    <row r="58" spans="1:13">
      <c r="A58" s="24" t="s">
        <v>8</v>
      </c>
      <c r="B58" s="38" t="s">
        <v>96</v>
      </c>
      <c r="C58" s="38" t="s">
        <v>26</v>
      </c>
      <c r="D58" s="35">
        <v>2013</v>
      </c>
      <c r="E58" s="35">
        <v>2014</v>
      </c>
      <c r="F58" s="35">
        <v>2015</v>
      </c>
      <c r="G58" s="35">
        <v>2016</v>
      </c>
      <c r="H58" s="35">
        <v>2017</v>
      </c>
      <c r="I58" s="35">
        <v>2018</v>
      </c>
      <c r="J58" s="107">
        <v>2019</v>
      </c>
      <c r="K58" s="107">
        <v>2020</v>
      </c>
    </row>
    <row r="59" spans="1:13">
      <c r="A59" s="348" t="s">
        <v>103</v>
      </c>
      <c r="B59" s="36" t="s">
        <v>22</v>
      </c>
      <c r="C59" s="358" t="s">
        <v>102</v>
      </c>
      <c r="D59" s="354">
        <v>1.2E-2</v>
      </c>
      <c r="E59" s="346">
        <v>2.5999999999999999E-2</v>
      </c>
      <c r="F59" s="346">
        <v>0</v>
      </c>
      <c r="G59" s="346">
        <v>1.0999999999999999E-2</v>
      </c>
      <c r="H59" s="346">
        <v>1.0999999999999999E-2</v>
      </c>
      <c r="I59" s="346">
        <v>0</v>
      </c>
      <c r="J59" s="346">
        <v>0.03</v>
      </c>
      <c r="K59" s="371">
        <v>0</v>
      </c>
    </row>
    <row r="60" spans="1:13">
      <c r="A60" s="349"/>
      <c r="B60" s="36" t="s">
        <v>19</v>
      </c>
      <c r="C60" s="356"/>
      <c r="D60" s="354"/>
      <c r="E60" s="346"/>
      <c r="F60" s="346"/>
      <c r="G60" s="346"/>
      <c r="H60" s="346"/>
      <c r="I60" s="346"/>
      <c r="J60" s="346"/>
      <c r="K60" s="371"/>
    </row>
    <row r="61" spans="1:13">
      <c r="A61" s="349"/>
      <c r="B61" s="36" t="s">
        <v>20</v>
      </c>
      <c r="C61" s="356"/>
      <c r="D61" s="354"/>
      <c r="E61" s="346"/>
      <c r="F61" s="346"/>
      <c r="G61" s="346"/>
      <c r="H61" s="346"/>
      <c r="I61" s="346"/>
      <c r="J61" s="346"/>
      <c r="K61" s="371"/>
    </row>
    <row r="62" spans="1:13">
      <c r="A62" s="350"/>
      <c r="B62" s="30" t="s">
        <v>21</v>
      </c>
      <c r="C62" s="357"/>
      <c r="D62" s="355"/>
      <c r="E62" s="347"/>
      <c r="F62" s="347"/>
      <c r="G62" s="347"/>
      <c r="H62" s="347"/>
      <c r="I62" s="347"/>
      <c r="J62" s="347"/>
      <c r="K62" s="372"/>
    </row>
    <row r="63" spans="1:13"/>
    <row r="64" spans="1:13">
      <c r="A64" s="40" t="s">
        <v>104</v>
      </c>
      <c r="B64" s="41"/>
      <c r="C64" s="41"/>
      <c r="D64" s="42">
        <v>2013</v>
      </c>
      <c r="E64" s="42">
        <v>2014</v>
      </c>
      <c r="F64" s="42">
        <v>2015</v>
      </c>
      <c r="G64" s="42">
        <v>2016</v>
      </c>
      <c r="H64" s="42">
        <v>2017</v>
      </c>
      <c r="I64" s="42">
        <v>2018</v>
      </c>
      <c r="J64" s="42">
        <v>2019</v>
      </c>
      <c r="K64" s="42">
        <v>2020</v>
      </c>
      <c r="L64" s="2"/>
      <c r="M64"/>
    </row>
    <row r="65" spans="1:11">
      <c r="A65" s="365" t="s">
        <v>18</v>
      </c>
      <c r="B65" s="366"/>
      <c r="C65" s="103" t="s">
        <v>75</v>
      </c>
      <c r="D65" s="79">
        <v>386340.2</v>
      </c>
      <c r="E65" s="105">
        <v>877346.54300000006</v>
      </c>
      <c r="F65" s="105">
        <v>768973.2</v>
      </c>
      <c r="G65" s="105">
        <v>1015420</v>
      </c>
      <c r="H65" s="105">
        <v>926609.71000000008</v>
      </c>
      <c r="I65" s="105">
        <v>929476.2</v>
      </c>
      <c r="J65" s="105">
        <v>1006608.7</v>
      </c>
      <c r="K65" s="293">
        <v>1034179.2</v>
      </c>
    </row>
    <row r="66" spans="1:11" ht="15" customHeight="1">
      <c r="A66" s="365" t="s">
        <v>22</v>
      </c>
      <c r="B66" s="366"/>
      <c r="C66" s="103" t="s">
        <v>75</v>
      </c>
      <c r="D66" s="79">
        <v>215893.5</v>
      </c>
      <c r="E66" s="105">
        <v>156150.6</v>
      </c>
      <c r="F66" s="105">
        <v>167615.9</v>
      </c>
      <c r="G66" s="105">
        <v>335419.5</v>
      </c>
      <c r="H66" s="105">
        <v>361073</v>
      </c>
      <c r="I66" s="105">
        <v>383604.2</v>
      </c>
      <c r="J66" s="105">
        <v>389334.6</v>
      </c>
      <c r="K66" s="293">
        <v>200553.1</v>
      </c>
    </row>
    <row r="67" spans="1:11">
      <c r="A67" s="365" t="s">
        <v>19</v>
      </c>
      <c r="B67" s="366"/>
      <c r="C67" s="103" t="s">
        <v>75</v>
      </c>
      <c r="D67" s="79" t="s">
        <v>33</v>
      </c>
      <c r="E67" s="105">
        <v>583807.80000000005</v>
      </c>
      <c r="F67" s="105">
        <v>456279.2</v>
      </c>
      <c r="G67" s="105">
        <v>514464.2</v>
      </c>
      <c r="H67" s="105">
        <v>460164.8</v>
      </c>
      <c r="I67" s="105">
        <v>403350.5</v>
      </c>
      <c r="J67" s="105">
        <v>464613.1</v>
      </c>
      <c r="K67" s="293">
        <v>621311</v>
      </c>
    </row>
    <row r="68" spans="1:11">
      <c r="A68" s="365" t="s">
        <v>20</v>
      </c>
      <c r="B68" s="366"/>
      <c r="C68" s="103" t="s">
        <v>75</v>
      </c>
      <c r="D68" s="79">
        <v>118050</v>
      </c>
      <c r="E68" s="105">
        <v>103830.643</v>
      </c>
      <c r="F68" s="105">
        <v>108389.1</v>
      </c>
      <c r="G68" s="105">
        <v>96307.8</v>
      </c>
      <c r="H68" s="105">
        <v>53360.11</v>
      </c>
      <c r="I68" s="105">
        <v>114575.5</v>
      </c>
      <c r="J68" s="105">
        <v>106838.6</v>
      </c>
      <c r="K68" s="293">
        <v>121044.6</v>
      </c>
    </row>
    <row r="69" spans="1:11">
      <c r="A69" s="367" t="s">
        <v>21</v>
      </c>
      <c r="B69" s="368"/>
      <c r="C69" s="104" t="s">
        <v>75</v>
      </c>
      <c r="D69" s="80">
        <v>52396.7</v>
      </c>
      <c r="E69" s="65">
        <v>33557.5</v>
      </c>
      <c r="F69" s="65">
        <v>36689</v>
      </c>
      <c r="G69" s="65">
        <v>69228.5</v>
      </c>
      <c r="H69" s="65">
        <v>52011.8</v>
      </c>
      <c r="I69" s="65">
        <v>27946</v>
      </c>
      <c r="J69" s="65">
        <v>45822.400000000001</v>
      </c>
      <c r="K69" s="294">
        <v>91270.5</v>
      </c>
    </row>
    <row r="70" spans="1:11">
      <c r="I70" s="6"/>
      <c r="J70" s="6"/>
      <c r="K70" s="6"/>
    </row>
    <row r="71" spans="1:11">
      <c r="A71" s="82"/>
    </row>
    <row r="72" spans="1:11"/>
    <row r="73" spans="1:11"/>
    <row r="74" spans="1:11"/>
    <row r="75" spans="1:11"/>
    <row r="76" spans="1:11"/>
    <row r="77" spans="1:11"/>
    <row r="78" spans="1:11"/>
    <row r="79" spans="1:11"/>
    <row r="80" spans="1:11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 hidden="1"/>
    <row r="142" hidden="1"/>
    <row r="143" hidden="1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</sheetData>
  <mergeCells count="58">
    <mergeCell ref="F49:F52"/>
    <mergeCell ref="G49:G52"/>
    <mergeCell ref="H49:H52"/>
    <mergeCell ref="I49:I52"/>
    <mergeCell ref="G53:G56"/>
    <mergeCell ref="H53:H56"/>
    <mergeCell ref="K59:K62"/>
    <mergeCell ref="K49:K52"/>
    <mergeCell ref="K53:K56"/>
    <mergeCell ref="J49:J52"/>
    <mergeCell ref="J53:J56"/>
    <mergeCell ref="J59:J62"/>
    <mergeCell ref="C27:C30"/>
    <mergeCell ref="C49:C52"/>
    <mergeCell ref="D49:D52"/>
    <mergeCell ref="E49:E52"/>
    <mergeCell ref="C59:C62"/>
    <mergeCell ref="A67:B67"/>
    <mergeCell ref="A68:B68"/>
    <mergeCell ref="A69:B69"/>
    <mergeCell ref="A16:B16"/>
    <mergeCell ref="A17:B17"/>
    <mergeCell ref="A18:B18"/>
    <mergeCell ref="A19:B19"/>
    <mergeCell ref="A20:B20"/>
    <mergeCell ref="A27:A30"/>
    <mergeCell ref="A31:A34"/>
    <mergeCell ref="A49:A52"/>
    <mergeCell ref="A59:A62"/>
    <mergeCell ref="A65:B65"/>
    <mergeCell ref="A66:B66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C31:C34"/>
    <mergeCell ref="A38:A41"/>
    <mergeCell ref="C38:C41"/>
    <mergeCell ref="A42:A45"/>
    <mergeCell ref="C42:C45"/>
    <mergeCell ref="I59:I62"/>
    <mergeCell ref="A53:A56"/>
    <mergeCell ref="C53:C56"/>
    <mergeCell ref="D53:D56"/>
    <mergeCell ref="E53:E56"/>
    <mergeCell ref="F53:F56"/>
    <mergeCell ref="D59:D62"/>
    <mergeCell ref="E59:E62"/>
    <mergeCell ref="F59:F62"/>
    <mergeCell ref="G59:G62"/>
    <mergeCell ref="H59:H62"/>
    <mergeCell ref="I53:I56"/>
  </mergeCells>
  <pageMargins left="0.25" right="0.25" top="0.75" bottom="0.75" header="0.3" footer="0.3"/>
  <pageSetup paperSize="9" scale="56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95"/>
  <sheetViews>
    <sheetView showGridLines="0" zoomScale="85" zoomScaleNormal="85" zoomScaleSheetLayoutView="100" workbookViewId="0">
      <selection activeCell="O14" sqref="O14"/>
    </sheetView>
  </sheetViews>
  <sheetFormatPr defaultRowHeight="14.4"/>
  <cols>
    <col min="1" max="1" width="62.88671875" style="4" customWidth="1"/>
    <col min="2" max="2" width="16.44140625" style="4" bestFit="1" customWidth="1"/>
    <col min="3" max="3" width="9.109375" style="4" customWidth="1"/>
    <col min="4" max="4" width="8.88671875" style="4" customWidth="1"/>
    <col min="5" max="5" width="9" style="4" customWidth="1"/>
    <col min="6" max="6" width="8.88671875" style="4" customWidth="1"/>
    <col min="7" max="7" width="9.109375" style="4" customWidth="1"/>
    <col min="8" max="9" width="8.88671875" style="4" customWidth="1"/>
  </cols>
  <sheetData>
    <row r="1" spans="1:12">
      <c r="J1" s="6"/>
      <c r="K1" s="6"/>
      <c r="L1" s="6"/>
    </row>
    <row r="2" spans="1:12" ht="15.6">
      <c r="A2" s="68" t="s">
        <v>105</v>
      </c>
      <c r="B2" s="23"/>
      <c r="C2" s="23"/>
      <c r="D2" s="23"/>
      <c r="E2" s="23"/>
      <c r="F2" s="23"/>
      <c r="G2" s="35"/>
      <c r="H2" s="35"/>
      <c r="I2" s="107"/>
      <c r="J2" s="107"/>
    </row>
    <row r="3" spans="1:12">
      <c r="J3" s="4"/>
    </row>
    <row r="4" spans="1:12">
      <c r="J4" s="4"/>
    </row>
    <row r="5" spans="1:12">
      <c r="A5" s="24" t="s">
        <v>107</v>
      </c>
      <c r="B5" s="24"/>
      <c r="C5" s="24"/>
      <c r="D5" s="24"/>
      <c r="E5" s="24"/>
      <c r="F5" s="24"/>
      <c r="G5" s="24"/>
      <c r="H5" s="24"/>
      <c r="I5" s="24"/>
      <c r="J5" s="24"/>
    </row>
    <row r="6" spans="1:12">
      <c r="J6" s="4"/>
    </row>
    <row r="7" spans="1:12">
      <c r="A7" s="24" t="s">
        <v>108</v>
      </c>
      <c r="B7" s="38" t="s">
        <v>26</v>
      </c>
      <c r="C7" s="35">
        <v>2013</v>
      </c>
      <c r="D7" s="35">
        <v>2014</v>
      </c>
      <c r="E7" s="35">
        <v>2015</v>
      </c>
      <c r="F7" s="35">
        <v>2016</v>
      </c>
      <c r="G7" s="35">
        <v>2017</v>
      </c>
      <c r="H7" s="35" t="s">
        <v>9</v>
      </c>
      <c r="I7" s="107">
        <v>2019</v>
      </c>
      <c r="J7" s="107" t="s">
        <v>229</v>
      </c>
    </row>
    <row r="8" spans="1:12">
      <c r="A8" s="26" t="s">
        <v>106</v>
      </c>
      <c r="B8" s="29" t="s">
        <v>74</v>
      </c>
      <c r="C8" s="83">
        <v>8</v>
      </c>
      <c r="D8" s="83">
        <v>8</v>
      </c>
      <c r="E8" s="83">
        <v>8</v>
      </c>
      <c r="F8" s="83">
        <v>8</v>
      </c>
      <c r="G8" s="83">
        <v>10</v>
      </c>
      <c r="H8" s="83">
        <v>10</v>
      </c>
      <c r="I8" s="132">
        <v>10</v>
      </c>
      <c r="J8" s="132">
        <v>10</v>
      </c>
    </row>
    <row r="9" spans="1:12">
      <c r="A9" s="26" t="s">
        <v>110</v>
      </c>
      <c r="B9" s="29" t="s">
        <v>74</v>
      </c>
      <c r="C9" s="83">
        <v>3</v>
      </c>
      <c r="D9" s="83">
        <v>3</v>
      </c>
      <c r="E9" s="83">
        <v>3</v>
      </c>
      <c r="F9" s="83">
        <v>3</v>
      </c>
      <c r="G9" s="83">
        <v>5</v>
      </c>
      <c r="H9" s="83">
        <v>7</v>
      </c>
      <c r="I9" s="132">
        <v>7</v>
      </c>
      <c r="J9" s="132">
        <v>7</v>
      </c>
    </row>
    <row r="10" spans="1:12">
      <c r="A10" s="26" t="s">
        <v>113</v>
      </c>
      <c r="B10" s="29" t="s">
        <v>0</v>
      </c>
      <c r="C10" s="88">
        <f t="shared" ref="C10:G10" si="0">C9/C8</f>
        <v>0.375</v>
      </c>
      <c r="D10" s="88">
        <f t="shared" si="0"/>
        <v>0.375</v>
      </c>
      <c r="E10" s="88">
        <f t="shared" si="0"/>
        <v>0.375</v>
      </c>
      <c r="F10" s="88">
        <f t="shared" si="0"/>
        <v>0.375</v>
      </c>
      <c r="G10" s="88">
        <f t="shared" si="0"/>
        <v>0.5</v>
      </c>
      <c r="H10" s="88">
        <f>H9/H8</f>
        <v>0.7</v>
      </c>
      <c r="I10" s="133">
        <f>I9/I8</f>
        <v>0.7</v>
      </c>
      <c r="J10" s="133">
        <f t="shared" ref="J10" si="1">J9/J8</f>
        <v>0.7</v>
      </c>
    </row>
    <row r="11" spans="1:12">
      <c r="A11" s="26" t="s">
        <v>111</v>
      </c>
      <c r="B11" s="29" t="s">
        <v>109</v>
      </c>
      <c r="C11" s="83" t="s">
        <v>136</v>
      </c>
      <c r="D11" s="83" t="s">
        <v>136</v>
      </c>
      <c r="E11" s="83" t="s">
        <v>136</v>
      </c>
      <c r="F11" s="83" t="s">
        <v>136</v>
      </c>
      <c r="G11" s="83" t="s">
        <v>136</v>
      </c>
      <c r="H11" s="83" t="s">
        <v>136</v>
      </c>
      <c r="I11" s="132" t="s">
        <v>158</v>
      </c>
      <c r="J11" s="132" t="s">
        <v>158</v>
      </c>
    </row>
    <row r="12" spans="1:12">
      <c r="A12" s="26" t="s">
        <v>112</v>
      </c>
      <c r="B12" s="29" t="s">
        <v>74</v>
      </c>
      <c r="C12" s="83">
        <v>4</v>
      </c>
      <c r="D12" s="83">
        <v>2</v>
      </c>
      <c r="E12" s="83">
        <v>2</v>
      </c>
      <c r="F12" s="83">
        <v>3</v>
      </c>
      <c r="G12" s="83">
        <v>2</v>
      </c>
      <c r="H12" s="83">
        <v>1</v>
      </c>
      <c r="I12" s="83">
        <v>1</v>
      </c>
      <c r="J12" s="83">
        <v>1</v>
      </c>
    </row>
    <row r="13" spans="1:12">
      <c r="A13" s="26" t="s">
        <v>114</v>
      </c>
      <c r="B13" s="29" t="s">
        <v>0</v>
      </c>
      <c r="C13" s="88">
        <f t="shared" ref="C13:G13" si="2">C12/C8</f>
        <v>0.5</v>
      </c>
      <c r="D13" s="88">
        <f t="shared" si="2"/>
        <v>0.25</v>
      </c>
      <c r="E13" s="88">
        <f t="shared" si="2"/>
        <v>0.25</v>
      </c>
      <c r="F13" s="88">
        <f t="shared" si="2"/>
        <v>0.375</v>
      </c>
      <c r="G13" s="88">
        <f t="shared" si="2"/>
        <v>0.2</v>
      </c>
      <c r="H13" s="88">
        <f>H12/H8</f>
        <v>0.1</v>
      </c>
      <c r="I13" s="134">
        <f>I12/I8</f>
        <v>0.1</v>
      </c>
      <c r="J13" s="134">
        <v>0.1</v>
      </c>
    </row>
    <row r="14" spans="1:12">
      <c r="A14" s="26" t="s">
        <v>115</v>
      </c>
      <c r="B14" s="29" t="s">
        <v>74</v>
      </c>
      <c r="C14" s="83">
        <v>4</v>
      </c>
      <c r="D14" s="83">
        <v>3</v>
      </c>
      <c r="E14" s="83">
        <v>3</v>
      </c>
      <c r="F14" s="83">
        <v>2</v>
      </c>
      <c r="G14" s="83">
        <v>3</v>
      </c>
      <c r="H14" s="83">
        <v>2</v>
      </c>
      <c r="I14" s="83">
        <v>2</v>
      </c>
      <c r="J14" s="83">
        <v>2</v>
      </c>
    </row>
    <row r="15" spans="1:12">
      <c r="A15" s="26" t="s">
        <v>116</v>
      </c>
      <c r="B15" s="29" t="s">
        <v>0</v>
      </c>
      <c r="C15" s="88">
        <f t="shared" ref="C15:G15" si="3">C14/C8</f>
        <v>0.5</v>
      </c>
      <c r="D15" s="88">
        <f t="shared" si="3"/>
        <v>0.375</v>
      </c>
      <c r="E15" s="88">
        <f t="shared" si="3"/>
        <v>0.375</v>
      </c>
      <c r="F15" s="88">
        <f t="shared" si="3"/>
        <v>0.25</v>
      </c>
      <c r="G15" s="88">
        <f t="shared" si="3"/>
        <v>0.3</v>
      </c>
      <c r="H15" s="88">
        <f>H14/H8</f>
        <v>0.2</v>
      </c>
      <c r="I15" s="134">
        <f>I14/I8</f>
        <v>0.2</v>
      </c>
      <c r="J15" s="134">
        <v>0.2</v>
      </c>
    </row>
    <row r="16" spans="1:12">
      <c r="A16" s="26" t="s">
        <v>117</v>
      </c>
      <c r="B16" s="29" t="s">
        <v>74</v>
      </c>
      <c r="C16" s="83">
        <v>0</v>
      </c>
      <c r="D16" s="83">
        <v>0</v>
      </c>
      <c r="E16" s="83">
        <v>0</v>
      </c>
      <c r="F16" s="83">
        <v>0</v>
      </c>
      <c r="G16" s="83">
        <v>1</v>
      </c>
      <c r="H16" s="83">
        <v>2</v>
      </c>
      <c r="I16" s="83">
        <v>2</v>
      </c>
      <c r="J16" s="83">
        <v>2</v>
      </c>
    </row>
    <row r="17" spans="1:10">
      <c r="A17" s="26" t="s">
        <v>118</v>
      </c>
      <c r="B17" s="29" t="s">
        <v>120</v>
      </c>
      <c r="C17" s="83">
        <v>13</v>
      </c>
      <c r="D17" s="83">
        <v>9</v>
      </c>
      <c r="E17" s="83">
        <v>9</v>
      </c>
      <c r="F17" s="83">
        <v>10</v>
      </c>
      <c r="G17" s="83">
        <v>12</v>
      </c>
      <c r="H17" s="83">
        <v>9</v>
      </c>
      <c r="I17" s="135">
        <v>8</v>
      </c>
      <c r="J17" s="135">
        <v>11</v>
      </c>
    </row>
    <row r="18" spans="1:10">
      <c r="A18" s="27" t="s">
        <v>119</v>
      </c>
      <c r="B18" s="30" t="s">
        <v>120</v>
      </c>
      <c r="C18" s="120">
        <v>12</v>
      </c>
      <c r="D18" s="120">
        <v>8</v>
      </c>
      <c r="E18" s="120">
        <v>8</v>
      </c>
      <c r="F18" s="120">
        <v>10</v>
      </c>
      <c r="G18" s="120">
        <v>12</v>
      </c>
      <c r="H18" s="120">
        <v>8</v>
      </c>
      <c r="I18" s="136">
        <v>8</v>
      </c>
      <c r="J18" s="136">
        <v>8</v>
      </c>
    </row>
    <row r="19" spans="1:10">
      <c r="A19" s="84"/>
      <c r="B19" s="85"/>
      <c r="C19" s="86"/>
      <c r="D19" s="86"/>
      <c r="E19" s="86"/>
      <c r="F19" s="86"/>
      <c r="G19" s="86"/>
      <c r="H19" s="86"/>
      <c r="I19" s="86"/>
      <c r="J19" s="306"/>
    </row>
    <row r="20" spans="1:10">
      <c r="A20" s="24" t="s">
        <v>121</v>
      </c>
      <c r="B20" s="38" t="s">
        <v>26</v>
      </c>
      <c r="C20" s="35">
        <v>2013</v>
      </c>
      <c r="D20" s="35">
        <v>2014</v>
      </c>
      <c r="E20" s="35">
        <v>2015</v>
      </c>
      <c r="F20" s="35">
        <v>2016</v>
      </c>
      <c r="G20" s="35">
        <v>2017</v>
      </c>
      <c r="H20" s="35" t="s">
        <v>9</v>
      </c>
      <c r="I20" s="107">
        <v>2019</v>
      </c>
      <c r="J20" s="107" t="s">
        <v>229</v>
      </c>
    </row>
    <row r="21" spans="1:10">
      <c r="A21" s="26" t="s">
        <v>122</v>
      </c>
      <c r="B21" s="29" t="s">
        <v>74</v>
      </c>
      <c r="C21" s="83">
        <v>3</v>
      </c>
      <c r="D21" s="83">
        <v>1</v>
      </c>
      <c r="E21" s="83">
        <v>0</v>
      </c>
      <c r="F21" s="83">
        <v>1</v>
      </c>
      <c r="G21" s="83" t="s">
        <v>10</v>
      </c>
      <c r="H21" s="83">
        <v>4</v>
      </c>
      <c r="I21" s="83">
        <v>0</v>
      </c>
      <c r="J21" s="83">
        <v>0</v>
      </c>
    </row>
    <row r="22" spans="1:10">
      <c r="A22" s="26" t="s">
        <v>123</v>
      </c>
      <c r="B22" s="29" t="s">
        <v>74</v>
      </c>
      <c r="C22" s="83">
        <v>3</v>
      </c>
      <c r="D22" s="83">
        <v>5</v>
      </c>
      <c r="E22" s="83">
        <v>4</v>
      </c>
      <c r="F22" s="83">
        <v>3</v>
      </c>
      <c r="G22" s="83">
        <v>2</v>
      </c>
      <c r="H22" s="83">
        <v>2</v>
      </c>
      <c r="I22" s="83">
        <v>5</v>
      </c>
      <c r="J22" s="83">
        <v>4</v>
      </c>
    </row>
    <row r="23" spans="1:10">
      <c r="A23" s="27" t="s">
        <v>124</v>
      </c>
      <c r="B23" s="30" t="s">
        <v>74</v>
      </c>
      <c r="C23" s="87">
        <v>2</v>
      </c>
      <c r="D23" s="87">
        <v>2</v>
      </c>
      <c r="E23" s="87">
        <v>4</v>
      </c>
      <c r="F23" s="87">
        <v>4</v>
      </c>
      <c r="G23" s="87">
        <v>5</v>
      </c>
      <c r="H23" s="87">
        <v>5</v>
      </c>
      <c r="I23" s="87">
        <v>5</v>
      </c>
      <c r="J23" s="87">
        <v>6</v>
      </c>
    </row>
    <row r="24" spans="1:10">
      <c r="A24" s="84"/>
      <c r="B24" s="85"/>
      <c r="C24" s="86"/>
      <c r="D24" s="86"/>
      <c r="E24" s="86"/>
      <c r="F24" s="86"/>
      <c r="G24" s="86"/>
      <c r="H24" s="86"/>
      <c r="I24" s="86"/>
      <c r="J24" s="4"/>
    </row>
    <row r="25" spans="1:10">
      <c r="A25" s="24" t="s">
        <v>125</v>
      </c>
      <c r="B25" s="38" t="s">
        <v>26</v>
      </c>
      <c r="C25" s="35">
        <v>2013</v>
      </c>
      <c r="D25" s="35">
        <v>2014</v>
      </c>
      <c r="E25" s="35">
        <v>2015</v>
      </c>
      <c r="F25" s="35">
        <v>2016</v>
      </c>
      <c r="G25" s="35">
        <v>2017</v>
      </c>
      <c r="H25" s="35" t="s">
        <v>9</v>
      </c>
      <c r="I25" s="107">
        <v>2019</v>
      </c>
      <c r="J25" s="107" t="s">
        <v>229</v>
      </c>
    </row>
    <row r="26" spans="1:10">
      <c r="A26" s="26" t="s">
        <v>126</v>
      </c>
      <c r="B26" s="29" t="s">
        <v>74</v>
      </c>
      <c r="C26" s="83">
        <v>1</v>
      </c>
      <c r="D26" s="83">
        <v>1</v>
      </c>
      <c r="E26" s="83">
        <v>1</v>
      </c>
      <c r="F26" s="83">
        <v>1</v>
      </c>
      <c r="G26" s="83">
        <v>1</v>
      </c>
      <c r="H26" s="83">
        <v>1</v>
      </c>
      <c r="I26" s="83">
        <v>1</v>
      </c>
      <c r="J26" s="83">
        <v>1</v>
      </c>
    </row>
    <row r="27" spans="1:10">
      <c r="A27" s="26" t="s">
        <v>127</v>
      </c>
      <c r="B27" s="29" t="s">
        <v>74</v>
      </c>
      <c r="C27" s="83">
        <v>7</v>
      </c>
      <c r="D27" s="83">
        <v>5</v>
      </c>
      <c r="E27" s="83">
        <v>5</v>
      </c>
      <c r="F27" s="83">
        <v>5</v>
      </c>
      <c r="G27" s="83">
        <v>6</v>
      </c>
      <c r="H27" s="83">
        <v>6</v>
      </c>
      <c r="I27" s="83">
        <v>6</v>
      </c>
      <c r="J27" s="83">
        <v>5</v>
      </c>
    </row>
    <row r="28" spans="1:10">
      <c r="A28" s="27" t="s">
        <v>128</v>
      </c>
      <c r="B28" s="30" t="s">
        <v>74</v>
      </c>
      <c r="C28" s="87">
        <v>0</v>
      </c>
      <c r="D28" s="87">
        <v>2</v>
      </c>
      <c r="E28" s="87">
        <v>2</v>
      </c>
      <c r="F28" s="87">
        <v>2</v>
      </c>
      <c r="G28" s="87">
        <v>3</v>
      </c>
      <c r="H28" s="87">
        <v>3</v>
      </c>
      <c r="I28" s="87">
        <v>3</v>
      </c>
      <c r="J28" s="87">
        <v>4</v>
      </c>
    </row>
    <row r="29" spans="1:10">
      <c r="A29" s="84"/>
      <c r="B29" s="85"/>
      <c r="C29" s="86"/>
      <c r="D29" s="86"/>
      <c r="E29" s="86"/>
      <c r="F29" s="86"/>
      <c r="G29" s="86"/>
      <c r="H29" s="86"/>
      <c r="I29" s="86"/>
      <c r="J29" s="4"/>
    </row>
    <row r="30" spans="1:10">
      <c r="A30" s="24" t="s">
        <v>129</v>
      </c>
      <c r="B30" s="38" t="s">
        <v>26</v>
      </c>
      <c r="C30" s="35">
        <v>2013</v>
      </c>
      <c r="D30" s="35">
        <v>2014</v>
      </c>
      <c r="E30" s="35">
        <v>2015</v>
      </c>
      <c r="F30" s="35">
        <v>2016</v>
      </c>
      <c r="G30" s="35">
        <v>2017</v>
      </c>
      <c r="H30" s="35" t="s">
        <v>9</v>
      </c>
      <c r="I30" s="107">
        <v>2019</v>
      </c>
      <c r="J30" s="107" t="s">
        <v>229</v>
      </c>
    </row>
    <row r="31" spans="1:10">
      <c r="A31" s="26" t="s">
        <v>130</v>
      </c>
      <c r="B31" s="29" t="s">
        <v>0</v>
      </c>
      <c r="C31" s="88">
        <v>0.12</v>
      </c>
      <c r="D31" s="88">
        <v>0.12</v>
      </c>
      <c r="E31" s="88">
        <v>0.12</v>
      </c>
      <c r="F31" s="88">
        <v>0.125</v>
      </c>
      <c r="G31" s="88">
        <v>0.1</v>
      </c>
      <c r="H31" s="88">
        <v>0.1</v>
      </c>
      <c r="I31" s="88">
        <v>0.1</v>
      </c>
      <c r="J31" s="307">
        <v>0.1</v>
      </c>
    </row>
    <row r="32" spans="1:10">
      <c r="A32" s="26" t="s">
        <v>131</v>
      </c>
      <c r="B32" s="29" t="s">
        <v>0</v>
      </c>
      <c r="C32" s="88">
        <v>0.25</v>
      </c>
      <c r="D32" s="88">
        <v>0.25</v>
      </c>
      <c r="E32" s="88">
        <v>0.25</v>
      </c>
      <c r="F32" s="88">
        <v>0.125</v>
      </c>
      <c r="G32" s="88">
        <v>0.2</v>
      </c>
      <c r="H32" s="88">
        <v>0.2</v>
      </c>
      <c r="I32" s="88">
        <v>0.2</v>
      </c>
      <c r="J32" s="307">
        <v>0.2</v>
      </c>
    </row>
    <row r="33" spans="1:10">
      <c r="A33" s="26" t="s">
        <v>132</v>
      </c>
      <c r="B33" s="29" t="s">
        <v>0</v>
      </c>
      <c r="C33" s="88">
        <v>0.25</v>
      </c>
      <c r="D33" s="88">
        <v>0.25</v>
      </c>
      <c r="E33" s="88">
        <v>0.25</v>
      </c>
      <c r="F33" s="88">
        <v>0.25</v>
      </c>
      <c r="G33" s="88">
        <v>0.3</v>
      </c>
      <c r="H33" s="88">
        <v>0.2</v>
      </c>
      <c r="I33" s="88">
        <v>0.2</v>
      </c>
      <c r="J33" s="307">
        <v>0.2</v>
      </c>
    </row>
    <row r="34" spans="1:10">
      <c r="A34" s="27" t="s">
        <v>133</v>
      </c>
      <c r="B34" s="30" t="s">
        <v>0</v>
      </c>
      <c r="C34" s="89">
        <v>0.38</v>
      </c>
      <c r="D34" s="90">
        <v>0.38</v>
      </c>
      <c r="E34" s="90">
        <v>0.38</v>
      </c>
      <c r="F34" s="90">
        <v>0.5</v>
      </c>
      <c r="G34" s="90">
        <v>0.4</v>
      </c>
      <c r="H34" s="90">
        <v>0.5</v>
      </c>
      <c r="I34" s="90">
        <v>0.5</v>
      </c>
      <c r="J34" s="308">
        <v>0.5</v>
      </c>
    </row>
    <row r="35" spans="1:10">
      <c r="J35" s="4"/>
    </row>
    <row r="36" spans="1:10">
      <c r="A36" s="24" t="s">
        <v>134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>
      <c r="J37" s="4"/>
    </row>
    <row r="38" spans="1:10">
      <c r="A38" s="24" t="s">
        <v>135</v>
      </c>
      <c r="B38" s="38" t="s">
        <v>26</v>
      </c>
      <c r="C38" s="35">
        <v>2013</v>
      </c>
      <c r="D38" s="35">
        <v>2014</v>
      </c>
      <c r="E38" s="35">
        <v>2015</v>
      </c>
      <c r="F38" s="35">
        <v>2016</v>
      </c>
      <c r="G38" s="35">
        <v>2017</v>
      </c>
      <c r="H38" s="35" t="s">
        <v>9</v>
      </c>
      <c r="I38" s="107">
        <v>2019</v>
      </c>
      <c r="J38" s="107" t="s">
        <v>229</v>
      </c>
    </row>
    <row r="39" spans="1:10">
      <c r="A39" s="26" t="s">
        <v>106</v>
      </c>
      <c r="B39" s="29" t="s">
        <v>74</v>
      </c>
      <c r="C39" s="83">
        <v>3</v>
      </c>
      <c r="D39" s="83">
        <v>3</v>
      </c>
      <c r="E39" s="83">
        <v>3</v>
      </c>
      <c r="F39" s="83">
        <v>3</v>
      </c>
      <c r="G39" s="83">
        <v>4</v>
      </c>
      <c r="H39" s="83">
        <v>4</v>
      </c>
      <c r="I39" s="83">
        <v>4</v>
      </c>
      <c r="J39" s="83">
        <v>4</v>
      </c>
    </row>
    <row r="40" spans="1:10">
      <c r="A40" s="26" t="s">
        <v>110</v>
      </c>
      <c r="B40" s="29" t="s">
        <v>74</v>
      </c>
      <c r="C40" s="83">
        <v>3</v>
      </c>
      <c r="D40" s="83">
        <v>3</v>
      </c>
      <c r="E40" s="83">
        <v>3</v>
      </c>
      <c r="F40" s="83">
        <v>3</v>
      </c>
      <c r="G40" s="83">
        <v>4</v>
      </c>
      <c r="H40" s="83">
        <v>4</v>
      </c>
      <c r="I40" s="83">
        <v>4</v>
      </c>
      <c r="J40" s="83">
        <v>4</v>
      </c>
    </row>
    <row r="41" spans="1:10">
      <c r="A41" s="26" t="s">
        <v>137</v>
      </c>
      <c r="B41" s="29" t="s">
        <v>0</v>
      </c>
      <c r="C41" s="88">
        <v>1</v>
      </c>
      <c r="D41" s="88">
        <v>1</v>
      </c>
      <c r="E41" s="88">
        <v>1</v>
      </c>
      <c r="F41" s="88">
        <v>1</v>
      </c>
      <c r="G41" s="88">
        <v>1</v>
      </c>
      <c r="H41" s="88">
        <v>1</v>
      </c>
      <c r="I41" s="83">
        <v>100</v>
      </c>
      <c r="J41" s="83">
        <v>100</v>
      </c>
    </row>
    <row r="42" spans="1:10">
      <c r="A42" s="26" t="s">
        <v>138</v>
      </c>
      <c r="B42" s="29" t="s">
        <v>109</v>
      </c>
      <c r="C42" s="83" t="s">
        <v>136</v>
      </c>
      <c r="D42" s="83" t="s">
        <v>136</v>
      </c>
      <c r="E42" s="83" t="s">
        <v>136</v>
      </c>
      <c r="F42" s="83" t="s">
        <v>136</v>
      </c>
      <c r="G42" s="83" t="s">
        <v>136</v>
      </c>
      <c r="H42" s="83" t="s">
        <v>136</v>
      </c>
      <c r="I42" s="83" t="s">
        <v>136</v>
      </c>
      <c r="J42" s="83" t="s">
        <v>230</v>
      </c>
    </row>
    <row r="43" spans="1:10">
      <c r="A43" s="27" t="s">
        <v>139</v>
      </c>
      <c r="B43" s="30" t="s">
        <v>120</v>
      </c>
      <c r="C43" s="87">
        <v>4</v>
      </c>
      <c r="D43" s="87">
        <v>7</v>
      </c>
      <c r="E43" s="87">
        <v>4</v>
      </c>
      <c r="F43" s="87">
        <v>4</v>
      </c>
      <c r="G43" s="87">
        <v>5</v>
      </c>
      <c r="H43" s="87">
        <v>5</v>
      </c>
      <c r="I43" s="87">
        <v>5</v>
      </c>
      <c r="J43" s="87">
        <v>5</v>
      </c>
    </row>
    <row r="44" spans="1:10">
      <c r="J44" s="4"/>
    </row>
    <row r="45" spans="1:10">
      <c r="A45" s="24" t="s">
        <v>140</v>
      </c>
      <c r="B45" s="38" t="s">
        <v>26</v>
      </c>
      <c r="C45" s="35">
        <v>2013</v>
      </c>
      <c r="D45" s="35">
        <v>2014</v>
      </c>
      <c r="E45" s="35">
        <v>2015</v>
      </c>
      <c r="F45" s="35">
        <v>2016</v>
      </c>
      <c r="G45" s="35">
        <v>2017</v>
      </c>
      <c r="H45" s="35" t="s">
        <v>9</v>
      </c>
      <c r="I45" s="107">
        <v>2019</v>
      </c>
      <c r="J45" s="107" t="s">
        <v>229</v>
      </c>
    </row>
    <row r="46" spans="1:10">
      <c r="A46" s="26" t="s">
        <v>106</v>
      </c>
      <c r="B46" s="29" t="s">
        <v>74</v>
      </c>
      <c r="C46" s="83" t="s">
        <v>1</v>
      </c>
      <c r="D46" s="83">
        <v>3</v>
      </c>
      <c r="E46" s="83">
        <v>3</v>
      </c>
      <c r="F46" s="83">
        <v>3</v>
      </c>
      <c r="G46" s="83">
        <v>3</v>
      </c>
      <c r="H46" s="83">
        <v>3</v>
      </c>
      <c r="I46" s="83">
        <v>3</v>
      </c>
      <c r="J46" s="83">
        <v>3</v>
      </c>
    </row>
    <row r="47" spans="1:10">
      <c r="A47" s="26" t="s">
        <v>110</v>
      </c>
      <c r="B47" s="29" t="s">
        <v>74</v>
      </c>
      <c r="C47" s="83" t="s">
        <v>1</v>
      </c>
      <c r="D47" s="83">
        <v>0</v>
      </c>
      <c r="E47" s="83">
        <v>0</v>
      </c>
      <c r="F47" s="83">
        <v>0</v>
      </c>
      <c r="G47" s="83">
        <v>0</v>
      </c>
      <c r="H47" s="83">
        <v>1</v>
      </c>
      <c r="I47" s="83">
        <v>2</v>
      </c>
      <c r="J47" s="83">
        <v>2</v>
      </c>
    </row>
    <row r="48" spans="1:10">
      <c r="A48" s="26" t="s">
        <v>137</v>
      </c>
      <c r="B48" s="29" t="s">
        <v>0</v>
      </c>
      <c r="C48" s="88" t="s">
        <v>1</v>
      </c>
      <c r="D48" s="88">
        <v>0</v>
      </c>
      <c r="E48" s="88">
        <v>0</v>
      </c>
      <c r="F48" s="88">
        <v>0</v>
      </c>
      <c r="G48" s="88">
        <v>0</v>
      </c>
      <c r="H48" s="88">
        <v>0.33333333333333331</v>
      </c>
      <c r="I48" s="88">
        <v>0.67</v>
      </c>
      <c r="J48" s="88">
        <v>0.67</v>
      </c>
    </row>
    <row r="49" spans="1:10">
      <c r="A49" s="26" t="s">
        <v>138</v>
      </c>
      <c r="B49" s="29" t="s">
        <v>109</v>
      </c>
      <c r="C49" s="83" t="s">
        <v>1</v>
      </c>
      <c r="D49" s="83" t="s">
        <v>141</v>
      </c>
      <c r="E49" s="83" t="s">
        <v>141</v>
      </c>
      <c r="F49" s="83" t="s">
        <v>141</v>
      </c>
      <c r="G49" s="83" t="s">
        <v>141</v>
      </c>
      <c r="H49" s="83" t="s">
        <v>136</v>
      </c>
      <c r="I49" s="83" t="s">
        <v>136</v>
      </c>
      <c r="J49" s="83" t="s">
        <v>136</v>
      </c>
    </row>
    <row r="50" spans="1:10">
      <c r="A50" s="27" t="s">
        <v>139</v>
      </c>
      <c r="B50" s="30" t="s">
        <v>120</v>
      </c>
      <c r="C50" s="87" t="s">
        <v>1</v>
      </c>
      <c r="D50" s="87">
        <v>2</v>
      </c>
      <c r="E50" s="87">
        <v>2</v>
      </c>
      <c r="F50" s="87">
        <v>4</v>
      </c>
      <c r="G50" s="87">
        <v>4</v>
      </c>
      <c r="H50" s="87">
        <v>4</v>
      </c>
      <c r="I50" s="87">
        <v>4</v>
      </c>
      <c r="J50" s="87">
        <v>3</v>
      </c>
    </row>
    <row r="51" spans="1:10">
      <c r="J51" s="4"/>
    </row>
    <row r="52" spans="1:10">
      <c r="A52" s="24" t="s">
        <v>142</v>
      </c>
      <c r="B52" s="38" t="s">
        <v>26</v>
      </c>
      <c r="C52" s="35">
        <v>2013</v>
      </c>
      <c r="D52" s="35">
        <v>2014</v>
      </c>
      <c r="E52" s="35">
        <v>2015</v>
      </c>
      <c r="F52" s="35">
        <v>2016</v>
      </c>
      <c r="G52" s="35">
        <v>2017</v>
      </c>
      <c r="H52" s="35" t="s">
        <v>9</v>
      </c>
      <c r="I52" s="107">
        <v>2019</v>
      </c>
      <c r="J52" s="107" t="s">
        <v>229</v>
      </c>
    </row>
    <row r="53" spans="1:10">
      <c r="A53" s="26" t="s">
        <v>106</v>
      </c>
      <c r="B53" s="29" t="s">
        <v>74</v>
      </c>
      <c r="C53" s="83">
        <v>4</v>
      </c>
      <c r="D53" s="83">
        <v>3</v>
      </c>
      <c r="E53" s="83">
        <v>3</v>
      </c>
      <c r="F53" s="83">
        <v>3</v>
      </c>
      <c r="G53" s="83">
        <v>3</v>
      </c>
      <c r="H53" s="83">
        <v>3</v>
      </c>
      <c r="I53" s="83">
        <v>3</v>
      </c>
      <c r="J53" s="83">
        <v>3</v>
      </c>
    </row>
    <row r="54" spans="1:10">
      <c r="A54" s="26" t="s">
        <v>110</v>
      </c>
      <c r="B54" s="29" t="s">
        <v>74</v>
      </c>
      <c r="C54" s="83">
        <v>2</v>
      </c>
      <c r="D54" s="83">
        <v>3</v>
      </c>
      <c r="E54" s="83">
        <v>3</v>
      </c>
      <c r="F54" s="83">
        <v>3</v>
      </c>
      <c r="G54" s="83">
        <v>3</v>
      </c>
      <c r="H54" s="83">
        <v>3</v>
      </c>
      <c r="I54" s="83">
        <v>3</v>
      </c>
      <c r="J54" s="83">
        <v>3</v>
      </c>
    </row>
    <row r="55" spans="1:10">
      <c r="A55" s="26" t="s">
        <v>137</v>
      </c>
      <c r="B55" s="29" t="s">
        <v>0</v>
      </c>
      <c r="C55" s="88">
        <v>0.5</v>
      </c>
      <c r="D55" s="88">
        <v>1</v>
      </c>
      <c r="E55" s="88">
        <v>1</v>
      </c>
      <c r="F55" s="88">
        <v>1</v>
      </c>
      <c r="G55" s="88">
        <v>1</v>
      </c>
      <c r="H55" s="88">
        <v>1</v>
      </c>
      <c r="I55" s="88">
        <v>1</v>
      </c>
      <c r="J55" s="88">
        <v>1</v>
      </c>
    </row>
    <row r="56" spans="1:10">
      <c r="A56" s="26" t="s">
        <v>138</v>
      </c>
      <c r="B56" s="29" t="s">
        <v>109</v>
      </c>
      <c r="C56" s="83" t="s">
        <v>136</v>
      </c>
      <c r="D56" s="83" t="s">
        <v>136</v>
      </c>
      <c r="E56" s="83" t="s">
        <v>136</v>
      </c>
      <c r="F56" s="83" t="s">
        <v>136</v>
      </c>
      <c r="G56" s="83" t="s">
        <v>136</v>
      </c>
      <c r="H56" s="83" t="s">
        <v>136</v>
      </c>
      <c r="I56" s="83" t="s">
        <v>136</v>
      </c>
      <c r="J56" s="83" t="s">
        <v>136</v>
      </c>
    </row>
    <row r="57" spans="1:10">
      <c r="A57" s="27" t="s">
        <v>139</v>
      </c>
      <c r="B57" s="30" t="s">
        <v>120</v>
      </c>
      <c r="C57" s="87">
        <v>2</v>
      </c>
      <c r="D57" s="87">
        <v>4</v>
      </c>
      <c r="E57" s="87">
        <v>4</v>
      </c>
      <c r="F57" s="87">
        <v>4</v>
      </c>
      <c r="G57" s="87">
        <v>4</v>
      </c>
      <c r="H57" s="87">
        <v>4</v>
      </c>
      <c r="I57" s="87">
        <v>4</v>
      </c>
      <c r="J57" s="87">
        <v>5</v>
      </c>
    </row>
    <row r="58" spans="1:10">
      <c r="J58" s="4"/>
    </row>
    <row r="59" spans="1:10">
      <c r="A59" s="24" t="s">
        <v>143</v>
      </c>
      <c r="B59" s="38" t="s">
        <v>26</v>
      </c>
      <c r="C59" s="35">
        <v>2013</v>
      </c>
      <c r="D59" s="35">
        <v>2014</v>
      </c>
      <c r="E59" s="35">
        <v>2015</v>
      </c>
      <c r="F59" s="35">
        <v>2016</v>
      </c>
      <c r="G59" s="35">
        <v>2017</v>
      </c>
      <c r="H59" s="35" t="s">
        <v>9</v>
      </c>
      <c r="I59" s="107">
        <v>2019</v>
      </c>
      <c r="J59" s="107" t="s">
        <v>229</v>
      </c>
    </row>
    <row r="60" spans="1:10">
      <c r="A60" s="26" t="s">
        <v>106</v>
      </c>
      <c r="B60" s="29" t="s">
        <v>74</v>
      </c>
      <c r="C60" s="83">
        <v>3</v>
      </c>
      <c r="D60" s="83">
        <v>3</v>
      </c>
      <c r="E60" s="83">
        <v>3</v>
      </c>
      <c r="F60" s="83">
        <v>3</v>
      </c>
      <c r="G60" s="83">
        <v>3</v>
      </c>
      <c r="H60" s="83">
        <v>4</v>
      </c>
      <c r="I60" s="83">
        <v>4</v>
      </c>
      <c r="J60" s="83">
        <v>4</v>
      </c>
    </row>
    <row r="61" spans="1:10">
      <c r="A61" s="26" t="s">
        <v>110</v>
      </c>
      <c r="B61" s="29" t="s">
        <v>74</v>
      </c>
      <c r="C61" s="83">
        <v>1</v>
      </c>
      <c r="D61" s="83">
        <v>0</v>
      </c>
      <c r="E61" s="83">
        <v>0</v>
      </c>
      <c r="F61" s="83">
        <v>0</v>
      </c>
      <c r="G61" s="83">
        <v>0</v>
      </c>
      <c r="H61" s="83">
        <v>1</v>
      </c>
      <c r="I61" s="83">
        <v>1</v>
      </c>
      <c r="J61" s="83">
        <v>1</v>
      </c>
    </row>
    <row r="62" spans="1:10">
      <c r="A62" s="26" t="s">
        <v>137</v>
      </c>
      <c r="B62" s="29" t="s">
        <v>0</v>
      </c>
      <c r="C62" s="88">
        <v>0.33333333333333331</v>
      </c>
      <c r="D62" s="88">
        <v>0</v>
      </c>
      <c r="E62" s="88">
        <v>0</v>
      </c>
      <c r="F62" s="88">
        <v>0</v>
      </c>
      <c r="G62" s="88">
        <v>0</v>
      </c>
      <c r="H62" s="88">
        <v>0.25</v>
      </c>
      <c r="I62" s="88">
        <v>0.25</v>
      </c>
      <c r="J62" s="88">
        <v>0.25</v>
      </c>
    </row>
    <row r="63" spans="1:10">
      <c r="A63" s="26" t="s">
        <v>138</v>
      </c>
      <c r="B63" s="29" t="s">
        <v>109</v>
      </c>
      <c r="C63" s="83" t="s">
        <v>141</v>
      </c>
      <c r="D63" s="83" t="s">
        <v>141</v>
      </c>
      <c r="E63" s="83" t="s">
        <v>141</v>
      </c>
      <c r="F63" s="83" t="s">
        <v>141</v>
      </c>
      <c r="G63" s="83" t="s">
        <v>141</v>
      </c>
      <c r="H63" s="83" t="s">
        <v>141</v>
      </c>
      <c r="I63" s="83" t="s">
        <v>141</v>
      </c>
      <c r="J63" s="83" t="s">
        <v>231</v>
      </c>
    </row>
    <row r="64" spans="1:10">
      <c r="A64" s="27" t="s">
        <v>139</v>
      </c>
      <c r="B64" s="30" t="s">
        <v>120</v>
      </c>
      <c r="C64" s="87">
        <v>1</v>
      </c>
      <c r="D64" s="87">
        <v>2</v>
      </c>
      <c r="E64" s="87">
        <v>2</v>
      </c>
      <c r="F64" s="87">
        <v>2</v>
      </c>
      <c r="G64" s="87">
        <v>3</v>
      </c>
      <c r="H64" s="87">
        <v>1</v>
      </c>
      <c r="I64" s="87">
        <v>2</v>
      </c>
      <c r="J64" s="87">
        <v>2</v>
      </c>
    </row>
    <row r="65" spans="1:10">
      <c r="J65" s="4"/>
    </row>
    <row r="66" spans="1:10">
      <c r="A66" s="24" t="s">
        <v>144</v>
      </c>
      <c r="B66" s="38" t="s">
        <v>26</v>
      </c>
      <c r="C66" s="35">
        <v>2013</v>
      </c>
      <c r="D66" s="35">
        <v>2014</v>
      </c>
      <c r="E66" s="35">
        <v>2015</v>
      </c>
      <c r="F66" s="35">
        <v>2016</v>
      </c>
      <c r="G66" s="35">
        <v>2017</v>
      </c>
      <c r="H66" s="35" t="s">
        <v>9</v>
      </c>
      <c r="I66" s="107">
        <v>2019</v>
      </c>
      <c r="J66" s="107" t="s">
        <v>229</v>
      </c>
    </row>
    <row r="67" spans="1:10">
      <c r="A67" s="26" t="s">
        <v>106</v>
      </c>
      <c r="B67" s="29" t="s">
        <v>74</v>
      </c>
      <c r="C67" s="83">
        <v>3</v>
      </c>
      <c r="D67" s="83">
        <v>3</v>
      </c>
      <c r="E67" s="83">
        <v>3</v>
      </c>
      <c r="F67" s="83">
        <v>3</v>
      </c>
      <c r="G67" s="83">
        <v>3</v>
      </c>
      <c r="H67" s="83">
        <v>3</v>
      </c>
      <c r="I67" s="83">
        <v>3</v>
      </c>
      <c r="J67" s="83">
        <v>3</v>
      </c>
    </row>
    <row r="68" spans="1:10">
      <c r="A68" s="26" t="s">
        <v>110</v>
      </c>
      <c r="B68" s="29" t="s">
        <v>74</v>
      </c>
      <c r="C68" s="83">
        <v>1</v>
      </c>
      <c r="D68" s="83">
        <v>1</v>
      </c>
      <c r="E68" s="83">
        <v>1</v>
      </c>
      <c r="F68" s="83">
        <v>1</v>
      </c>
      <c r="G68" s="83">
        <v>1</v>
      </c>
      <c r="H68" s="83">
        <v>1</v>
      </c>
      <c r="I68" s="83">
        <v>1</v>
      </c>
      <c r="J68" s="83">
        <v>1</v>
      </c>
    </row>
    <row r="69" spans="1:10">
      <c r="A69" s="26" t="s">
        <v>137</v>
      </c>
      <c r="B69" s="29" t="s">
        <v>0</v>
      </c>
      <c r="C69" s="88" t="s">
        <v>11</v>
      </c>
      <c r="D69" s="88" t="s">
        <v>11</v>
      </c>
      <c r="E69" s="88" t="s">
        <v>11</v>
      </c>
      <c r="F69" s="88" t="s">
        <v>11</v>
      </c>
      <c r="G69" s="88" t="s">
        <v>11</v>
      </c>
      <c r="H69" s="88" t="s">
        <v>11</v>
      </c>
      <c r="I69" s="88">
        <v>0.33</v>
      </c>
      <c r="J69" s="88" t="s">
        <v>11</v>
      </c>
    </row>
    <row r="70" spans="1:10">
      <c r="A70" s="26" t="s">
        <v>138</v>
      </c>
      <c r="B70" s="29" t="s">
        <v>109</v>
      </c>
      <c r="C70" s="83" t="s">
        <v>141</v>
      </c>
      <c r="D70" s="83" t="s">
        <v>141</v>
      </c>
      <c r="E70" s="83" t="s">
        <v>141</v>
      </c>
      <c r="F70" s="83" t="s">
        <v>141</v>
      </c>
      <c r="G70" s="83" t="s">
        <v>141</v>
      </c>
      <c r="H70" s="83" t="s">
        <v>141</v>
      </c>
      <c r="I70" s="83" t="s">
        <v>141</v>
      </c>
      <c r="J70" s="83" t="s">
        <v>141</v>
      </c>
    </row>
    <row r="71" spans="1:10">
      <c r="A71" s="27" t="s">
        <v>139</v>
      </c>
      <c r="B71" s="30" t="s">
        <v>120</v>
      </c>
      <c r="C71" s="87">
        <v>3</v>
      </c>
      <c r="D71" s="87">
        <v>3</v>
      </c>
      <c r="E71" s="87">
        <v>3</v>
      </c>
      <c r="F71" s="87">
        <v>3</v>
      </c>
      <c r="G71" s="87">
        <v>3</v>
      </c>
      <c r="H71" s="87">
        <v>2</v>
      </c>
      <c r="I71" s="87">
        <v>3</v>
      </c>
      <c r="J71" s="87">
        <v>2</v>
      </c>
    </row>
    <row r="72" spans="1:10">
      <c r="A72" s="106"/>
      <c r="B72" s="28"/>
      <c r="C72" s="137"/>
      <c r="D72" s="137"/>
      <c r="E72" s="137"/>
      <c r="F72" s="137"/>
      <c r="G72" s="137"/>
      <c r="H72" s="137"/>
      <c r="I72" s="137"/>
      <c r="J72" s="137"/>
    </row>
    <row r="73" spans="1:10">
      <c r="A73" s="24" t="s">
        <v>160</v>
      </c>
      <c r="B73" s="38" t="s">
        <v>26</v>
      </c>
      <c r="C73" s="107">
        <v>2013</v>
      </c>
      <c r="D73" s="107">
        <v>2014</v>
      </c>
      <c r="E73" s="107">
        <v>2015</v>
      </c>
      <c r="F73" s="107">
        <v>2016</v>
      </c>
      <c r="G73" s="107">
        <v>2017</v>
      </c>
      <c r="H73" s="107" t="s">
        <v>9</v>
      </c>
      <c r="I73" s="107" t="s">
        <v>159</v>
      </c>
      <c r="J73" s="107" t="s">
        <v>229</v>
      </c>
    </row>
    <row r="74" spans="1:10">
      <c r="A74" s="26" t="s">
        <v>106</v>
      </c>
      <c r="B74" s="29" t="s">
        <v>74</v>
      </c>
      <c r="C74" s="83" t="s">
        <v>1</v>
      </c>
      <c r="D74" s="83" t="s">
        <v>1</v>
      </c>
      <c r="E74" s="83" t="s">
        <v>1</v>
      </c>
      <c r="F74" s="83" t="s">
        <v>1</v>
      </c>
      <c r="G74" s="83" t="s">
        <v>1</v>
      </c>
      <c r="H74" s="83" t="s">
        <v>1</v>
      </c>
      <c r="I74" s="83">
        <v>3</v>
      </c>
      <c r="J74" s="83">
        <v>3</v>
      </c>
    </row>
    <row r="75" spans="1:10">
      <c r="A75" s="26" t="s">
        <v>110</v>
      </c>
      <c r="B75" s="29" t="s">
        <v>74</v>
      </c>
      <c r="C75" s="83" t="s">
        <v>1</v>
      </c>
      <c r="D75" s="83" t="s">
        <v>1</v>
      </c>
      <c r="E75" s="83" t="s">
        <v>1</v>
      </c>
      <c r="F75" s="83" t="s">
        <v>1</v>
      </c>
      <c r="G75" s="83" t="s">
        <v>1</v>
      </c>
      <c r="H75" s="83" t="s">
        <v>1</v>
      </c>
      <c r="I75" s="83">
        <v>2</v>
      </c>
      <c r="J75" s="83">
        <v>2</v>
      </c>
    </row>
    <row r="76" spans="1:10">
      <c r="A76" s="26" t="s">
        <v>137</v>
      </c>
      <c r="B76" s="29" t="s">
        <v>0</v>
      </c>
      <c r="C76" s="88" t="s">
        <v>1</v>
      </c>
      <c r="D76" s="88" t="s">
        <v>1</v>
      </c>
      <c r="E76" s="88" t="s">
        <v>1</v>
      </c>
      <c r="F76" s="88" t="s">
        <v>1</v>
      </c>
      <c r="G76" s="88" t="s">
        <v>1</v>
      </c>
      <c r="H76" s="88" t="s">
        <v>1</v>
      </c>
      <c r="I76" s="88">
        <v>0.67</v>
      </c>
      <c r="J76" s="88">
        <v>0.67</v>
      </c>
    </row>
    <row r="77" spans="1:10">
      <c r="A77" s="26" t="s">
        <v>138</v>
      </c>
      <c r="B77" s="29" t="s">
        <v>109</v>
      </c>
      <c r="C77" s="83" t="s">
        <v>1</v>
      </c>
      <c r="D77" s="83" t="s">
        <v>1</v>
      </c>
      <c r="E77" s="83" t="s">
        <v>1</v>
      </c>
      <c r="F77" s="83" t="s">
        <v>1</v>
      </c>
      <c r="G77" s="83" t="s">
        <v>1</v>
      </c>
      <c r="H77" s="83" t="s">
        <v>1</v>
      </c>
      <c r="I77" s="83" t="s">
        <v>136</v>
      </c>
      <c r="J77" s="83" t="s">
        <v>136</v>
      </c>
    </row>
    <row r="78" spans="1:10">
      <c r="A78" s="27" t="s">
        <v>139</v>
      </c>
      <c r="B78" s="30" t="s">
        <v>120</v>
      </c>
      <c r="C78" s="87" t="s">
        <v>1</v>
      </c>
      <c r="D78" s="87" t="s">
        <v>1</v>
      </c>
      <c r="E78" s="87" t="s">
        <v>1</v>
      </c>
      <c r="F78" s="87" t="s">
        <v>1</v>
      </c>
      <c r="G78" s="87" t="s">
        <v>1</v>
      </c>
      <c r="H78" s="87" t="s">
        <v>1</v>
      </c>
      <c r="I78" s="87">
        <v>2</v>
      </c>
      <c r="J78" s="87">
        <v>3</v>
      </c>
    </row>
    <row r="79" spans="1:10">
      <c r="J79" s="4"/>
    </row>
    <row r="80" spans="1:10">
      <c r="A80" s="24" t="s">
        <v>145</v>
      </c>
      <c r="B80" s="38" t="s">
        <v>26</v>
      </c>
      <c r="C80" s="35">
        <v>2013</v>
      </c>
      <c r="D80" s="35">
        <v>2014</v>
      </c>
      <c r="E80" s="35">
        <v>2015</v>
      </c>
      <c r="F80" s="35">
        <v>2016</v>
      </c>
      <c r="G80" s="35">
        <v>2017</v>
      </c>
      <c r="H80" s="35" t="s">
        <v>9</v>
      </c>
      <c r="I80" s="107">
        <v>2019</v>
      </c>
      <c r="J80" s="107" t="s">
        <v>229</v>
      </c>
    </row>
    <row r="81" spans="1:10">
      <c r="A81" s="26" t="s">
        <v>146</v>
      </c>
      <c r="B81" s="29" t="s">
        <v>74</v>
      </c>
      <c r="C81" s="83">
        <v>6</v>
      </c>
      <c r="D81" s="83">
        <v>5</v>
      </c>
      <c r="E81" s="83">
        <v>5</v>
      </c>
      <c r="F81" s="83">
        <v>5</v>
      </c>
      <c r="G81" s="83">
        <v>5</v>
      </c>
      <c r="H81" s="83">
        <v>7</v>
      </c>
      <c r="I81" s="83">
        <v>7</v>
      </c>
      <c r="J81" s="83">
        <v>7</v>
      </c>
    </row>
    <row r="82" spans="1:10">
      <c r="A82" s="27" t="s">
        <v>147</v>
      </c>
      <c r="B82" s="30" t="s">
        <v>120</v>
      </c>
      <c r="C82" s="87">
        <v>4</v>
      </c>
      <c r="D82" s="87">
        <v>6</v>
      </c>
      <c r="E82" s="87">
        <v>3</v>
      </c>
      <c r="F82" s="87">
        <v>7</v>
      </c>
      <c r="G82" s="87">
        <v>8</v>
      </c>
      <c r="H82" s="87">
        <v>6</v>
      </c>
      <c r="I82" s="87">
        <v>7</v>
      </c>
      <c r="J82" s="87">
        <v>6</v>
      </c>
    </row>
    <row r="83" spans="1:10">
      <c r="J83" s="4"/>
    </row>
    <row r="84" spans="1:10">
      <c r="A84" s="91" t="s">
        <v>148</v>
      </c>
      <c r="B84" s="38" t="s">
        <v>26</v>
      </c>
      <c r="C84" s="92">
        <v>2013</v>
      </c>
      <c r="D84" s="92">
        <v>2014</v>
      </c>
      <c r="E84" s="92">
        <v>2015</v>
      </c>
      <c r="F84" s="92">
        <v>2016</v>
      </c>
      <c r="G84" s="92">
        <v>2017</v>
      </c>
      <c r="H84" s="92" t="s">
        <v>9</v>
      </c>
      <c r="I84" s="92">
        <v>2019</v>
      </c>
      <c r="J84" s="92" t="s">
        <v>229</v>
      </c>
    </row>
    <row r="85" spans="1:10">
      <c r="A85" s="93" t="s">
        <v>149</v>
      </c>
      <c r="B85" s="94" t="s">
        <v>109</v>
      </c>
      <c r="C85" s="87" t="s">
        <v>141</v>
      </c>
      <c r="D85" s="87" t="s">
        <v>141</v>
      </c>
      <c r="E85" s="87" t="s">
        <v>141</v>
      </c>
      <c r="F85" s="87" t="s">
        <v>141</v>
      </c>
      <c r="G85" s="87" t="s">
        <v>141</v>
      </c>
      <c r="H85" s="87" t="s">
        <v>136</v>
      </c>
      <c r="I85" s="87" t="s">
        <v>136</v>
      </c>
      <c r="J85" s="87" t="s">
        <v>136</v>
      </c>
    </row>
    <row r="86" spans="1:10">
      <c r="J86" s="4"/>
    </row>
    <row r="87" spans="1:10">
      <c r="A87" s="91" t="s">
        <v>150</v>
      </c>
      <c r="B87" s="38" t="s">
        <v>26</v>
      </c>
      <c r="C87" s="92">
        <v>2013</v>
      </c>
      <c r="D87" s="92">
        <v>2014</v>
      </c>
      <c r="E87" s="92">
        <v>2015</v>
      </c>
      <c r="F87" s="92">
        <v>2016</v>
      </c>
      <c r="G87" s="92">
        <v>2017</v>
      </c>
      <c r="H87" s="92" t="s">
        <v>9</v>
      </c>
      <c r="I87" s="92">
        <v>2019</v>
      </c>
      <c r="J87" s="92" t="s">
        <v>229</v>
      </c>
    </row>
    <row r="88" spans="1:10">
      <c r="A88" s="93" t="s">
        <v>151</v>
      </c>
      <c r="B88" s="94" t="s">
        <v>109</v>
      </c>
      <c r="C88" s="87" t="s">
        <v>136</v>
      </c>
      <c r="D88" s="87" t="s">
        <v>136</v>
      </c>
      <c r="E88" s="87" t="s">
        <v>136</v>
      </c>
      <c r="F88" s="87" t="s">
        <v>136</v>
      </c>
      <c r="G88" s="87" t="s">
        <v>136</v>
      </c>
      <c r="H88" s="87" t="s">
        <v>136</v>
      </c>
      <c r="I88" s="87" t="s">
        <v>136</v>
      </c>
      <c r="J88" s="87" t="s">
        <v>136</v>
      </c>
    </row>
    <row r="89" spans="1:10">
      <c r="J89" s="4"/>
    </row>
    <row r="90" spans="1:10">
      <c r="A90" s="91" t="s">
        <v>152</v>
      </c>
      <c r="B90" s="38" t="s">
        <v>26</v>
      </c>
      <c r="C90" s="92">
        <v>2013</v>
      </c>
      <c r="D90" s="92">
        <v>2014</v>
      </c>
      <c r="E90" s="92">
        <v>2015</v>
      </c>
      <c r="F90" s="92">
        <v>2016</v>
      </c>
      <c r="G90" s="92">
        <v>2017</v>
      </c>
      <c r="H90" s="92" t="s">
        <v>9</v>
      </c>
      <c r="I90" s="92">
        <v>2019</v>
      </c>
      <c r="J90" s="92" t="s">
        <v>229</v>
      </c>
    </row>
    <row r="91" spans="1:10">
      <c r="A91" s="93" t="s">
        <v>153</v>
      </c>
      <c r="B91" s="94" t="s">
        <v>75</v>
      </c>
      <c r="C91" s="95">
        <v>365.2</v>
      </c>
      <c r="D91" s="95">
        <v>365.2</v>
      </c>
      <c r="E91" s="95">
        <v>540</v>
      </c>
      <c r="F91" s="95">
        <v>540</v>
      </c>
      <c r="G91" s="95">
        <v>540</v>
      </c>
      <c r="H91" s="95">
        <v>590</v>
      </c>
      <c r="I91" s="95">
        <v>590</v>
      </c>
      <c r="J91" s="95">
        <v>590</v>
      </c>
    </row>
    <row r="93" spans="1:10">
      <c r="A93" s="96"/>
      <c r="B93" s="97"/>
      <c r="C93" s="98"/>
      <c r="D93" s="98"/>
      <c r="E93" s="98"/>
      <c r="F93" s="98"/>
      <c r="G93" s="98"/>
      <c r="H93" s="98"/>
      <c r="I93" s="98"/>
      <c r="J93" s="99"/>
    </row>
    <row r="94" spans="1:10" ht="25.5" customHeight="1">
      <c r="A94" s="375"/>
      <c r="B94" s="376"/>
      <c r="C94" s="376"/>
      <c r="D94" s="376"/>
      <c r="E94" s="376"/>
      <c r="F94" s="376"/>
      <c r="G94" s="376"/>
      <c r="H94" s="376"/>
      <c r="I94" s="376"/>
      <c r="J94" s="376"/>
    </row>
    <row r="95" spans="1:10" ht="18" customHeight="1">
      <c r="A95" s="96"/>
      <c r="B95" s="97"/>
      <c r="C95" s="98"/>
      <c r="D95" s="98"/>
      <c r="E95" s="98"/>
      <c r="F95" s="98"/>
      <c r="G95" s="98"/>
      <c r="H95" s="98"/>
      <c r="I95" s="98"/>
      <c r="J95" s="99"/>
    </row>
  </sheetData>
  <mergeCells count="1">
    <mergeCell ref="A94:J94"/>
  </mergeCells>
  <pageMargins left="0.25" right="0.25" top="0.75" bottom="0.75" header="0.3" footer="0.3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279FCB-5F55-4740-BB85-09B9D214F1D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A566946-93EE-47A1-8911-AC4C875B3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1FDB9B-0F45-4739-BAB4-D26ED936B46A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2e6c4e6a-6d57-47d6-9288-076169c1f698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884983B-CEE7-46DC-8DE6-4E71E73D8A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MENU</vt:lpstr>
      <vt:lpstr>ENVIRONMENT net</vt:lpstr>
      <vt:lpstr>ENVIRONMENT total</vt:lpstr>
      <vt:lpstr>ENERGY EFFICIENCY</vt:lpstr>
      <vt:lpstr>SOCIAL</vt:lpstr>
      <vt:lpstr>GOVERNANCE</vt:lpstr>
      <vt:lpstr>'ENVIRONMENT net'!Область_печати</vt:lpstr>
      <vt:lpstr>MENU!Область_печати</vt:lpstr>
      <vt:lpstr>SOCIAL!Область_печати</vt:lpstr>
    </vt:vector>
  </TitlesOfParts>
  <Company>ПАО "ГМК "Норильский никель"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AlekseenkoVV@nornik.ru</dc:creator>
  <cp:lastModifiedBy>Кудряшов Сергей Владимирович</cp:lastModifiedBy>
  <cp:lastPrinted>2017-09-27T14:53:33Z</cp:lastPrinted>
  <dcterms:created xsi:type="dcterms:W3CDTF">2016-12-15T13:22:24Z</dcterms:created>
  <dcterms:modified xsi:type="dcterms:W3CDTF">2021-07-01T15:18:00Z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